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firstSheet="10" activeTab="18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  <sheet name="Лист7" sheetId="7" r:id="rId7"/>
    <sheet name="Лист9" sheetId="9" r:id="rId8"/>
    <sheet name="Лист10" sheetId="10" r:id="rId9"/>
    <sheet name="Лист11" sheetId="11" r:id="rId10"/>
    <sheet name="Лист12" sheetId="12" r:id="rId11"/>
    <sheet name="Лист13" sheetId="13" r:id="rId12"/>
    <sheet name="Лист8" sheetId="14" r:id="rId13"/>
    <sheet name="Лист14" sheetId="15" r:id="rId14"/>
    <sheet name="Лист13 (2)" sheetId="20" r:id="rId15"/>
    <sheet name="Лист14 (2)" sheetId="21" r:id="rId16"/>
    <sheet name="Лист15" sheetId="16" r:id="rId17"/>
    <sheet name="Лист16" sheetId="17" r:id="rId18"/>
    <sheet name="Лист17" sheetId="18" r:id="rId19"/>
  </sheets>
  <calcPr calcId="145621"/>
</workbook>
</file>

<file path=xl/calcChain.xml><?xml version="1.0" encoding="utf-8"?>
<calcChain xmlns="http://schemas.openxmlformats.org/spreadsheetml/2006/main">
  <c r="I16" i="20" l="1"/>
  <c r="I15" i="20"/>
  <c r="I14" i="20"/>
  <c r="C3" i="21"/>
  <c r="C4" i="21"/>
  <c r="B3" i="21"/>
  <c r="B5" i="21"/>
  <c r="D5" i="21" s="1"/>
  <c r="B4" i="21"/>
  <c r="C17" i="20"/>
  <c r="C15" i="20"/>
  <c r="C16" i="20" s="1"/>
  <c r="C21" i="20" s="1"/>
  <c r="E21" i="20" s="1"/>
  <c r="F21" i="20" s="1"/>
  <c r="D13" i="5"/>
  <c r="E22" i="20"/>
  <c r="E23" i="20"/>
  <c r="E24" i="20"/>
  <c r="E25" i="20"/>
  <c r="E26" i="20"/>
  <c r="E27" i="20"/>
  <c r="E28" i="20"/>
  <c r="C28" i="20"/>
  <c r="C24" i="20"/>
  <c r="C25" i="20"/>
  <c r="C26" i="20"/>
  <c r="C23" i="20"/>
  <c r="C22" i="20"/>
  <c r="B22" i="20"/>
  <c r="B23" i="20"/>
  <c r="B24" i="20"/>
  <c r="B25" i="20"/>
  <c r="B26" i="20"/>
  <c r="B27" i="20"/>
  <c r="B28" i="20"/>
  <c r="B21" i="20"/>
  <c r="B19" i="20"/>
  <c r="C13" i="20"/>
  <c r="D13" i="20" s="1"/>
  <c r="E13" i="20" s="1"/>
  <c r="C12" i="20"/>
  <c r="D12" i="20" s="1"/>
  <c r="E12" i="20" s="1"/>
  <c r="C11" i="20"/>
  <c r="D11" i="20" s="1"/>
  <c r="C9" i="20"/>
  <c r="C8" i="20"/>
  <c r="D8" i="20" s="1"/>
  <c r="E8" i="20" s="1"/>
  <c r="C7" i="20"/>
  <c r="D7" i="20" s="1"/>
  <c r="E7" i="20" s="1"/>
  <c r="D6" i="20"/>
  <c r="E6" i="20" s="1"/>
  <c r="C6" i="20"/>
  <c r="C5" i="20"/>
  <c r="D5" i="20" s="1"/>
  <c r="E5" i="20" s="1"/>
  <c r="D4" i="20"/>
  <c r="E4" i="20" s="1"/>
  <c r="D3" i="20"/>
  <c r="E3" i="20" s="1"/>
  <c r="C6" i="21" l="1"/>
  <c r="D3" i="21"/>
  <c r="C5" i="21"/>
  <c r="D4" i="21"/>
  <c r="D6" i="21"/>
  <c r="C10" i="20"/>
  <c r="D10" i="20" s="1"/>
  <c r="E10" i="20" s="1"/>
  <c r="E11" i="20"/>
  <c r="D9" i="20"/>
  <c r="E9" i="20" s="1"/>
  <c r="D17" i="20"/>
  <c r="E17" i="20" s="1"/>
  <c r="G10" i="17"/>
  <c r="F10" i="17"/>
  <c r="E10" i="17"/>
  <c r="E7" i="17"/>
  <c r="E8" i="17" s="1"/>
  <c r="E4" i="17"/>
  <c r="E3" i="17"/>
  <c r="E2" i="17"/>
  <c r="D7" i="17"/>
  <c r="D6" i="17"/>
  <c r="D5" i="17"/>
  <c r="D4" i="17"/>
  <c r="D3" i="17"/>
  <c r="D2" i="17"/>
  <c r="B7" i="18"/>
  <c r="C5" i="18" s="1"/>
  <c r="H21" i="17"/>
  <c r="C10" i="17"/>
  <c r="C7" i="17"/>
  <c r="C8" i="17" s="1"/>
  <c r="C4" i="17"/>
  <c r="C3" i="17"/>
  <c r="C2" i="17"/>
  <c r="B6" i="17"/>
  <c r="B5" i="17"/>
  <c r="B3" i="17"/>
  <c r="B2" i="17"/>
  <c r="I4" i="17"/>
  <c r="I2" i="17"/>
  <c r="B4" i="17" s="1"/>
  <c r="I3" i="17"/>
  <c r="H3" i="17"/>
  <c r="B45" i="17"/>
  <c r="H2" i="17"/>
  <c r="E28" i="4"/>
  <c r="D24" i="4"/>
  <c r="E27" i="4"/>
  <c r="D23" i="4"/>
  <c r="E26" i="4"/>
  <c r="E8" i="16"/>
  <c r="B13" i="16"/>
  <c r="B9" i="16"/>
  <c r="B8" i="16"/>
  <c r="B6" i="16"/>
  <c r="F24" i="14"/>
  <c r="H20" i="14"/>
  <c r="E14" i="14"/>
  <c r="E15" i="14"/>
  <c r="E13" i="14"/>
  <c r="E4" i="14"/>
  <c r="E5" i="14"/>
  <c r="E6" i="14"/>
  <c r="E7" i="14"/>
  <c r="E8" i="14"/>
  <c r="E9" i="14"/>
  <c r="E10" i="14"/>
  <c r="E11" i="14"/>
  <c r="E3" i="14"/>
  <c r="E16" i="14" s="1"/>
  <c r="F3" i="14"/>
  <c r="F16" i="14" s="1"/>
  <c r="H3" i="14"/>
  <c r="H14" i="14"/>
  <c r="H15" i="14"/>
  <c r="H13" i="14"/>
  <c r="H4" i="14"/>
  <c r="H5" i="14"/>
  <c r="H6" i="14"/>
  <c r="H7" i="14"/>
  <c r="H8" i="14"/>
  <c r="H9" i="14"/>
  <c r="H10" i="14"/>
  <c r="H11" i="14"/>
  <c r="E3" i="15"/>
  <c r="D3" i="15"/>
  <c r="C6" i="15"/>
  <c r="C5" i="15"/>
  <c r="D3" i="10"/>
  <c r="D4" i="15"/>
  <c r="D6" i="15"/>
  <c r="D6" i="11"/>
  <c r="C4" i="15"/>
  <c r="B4" i="15"/>
  <c r="C3" i="15"/>
  <c r="B3" i="15"/>
  <c r="C22" i="13"/>
  <c r="C17" i="13"/>
  <c r="H19" i="14"/>
  <c r="F15" i="14"/>
  <c r="F14" i="14"/>
  <c r="F13" i="14"/>
  <c r="F11" i="14"/>
  <c r="F10" i="14"/>
  <c r="F9" i="14"/>
  <c r="F5" i="14"/>
  <c r="F6" i="14"/>
  <c r="F7" i="14"/>
  <c r="F8" i="14"/>
  <c r="F4" i="14"/>
  <c r="G16" i="14"/>
  <c r="C16" i="14"/>
  <c r="C14" i="20" l="1"/>
  <c r="D14" i="20" s="1"/>
  <c r="D8" i="17"/>
  <c r="C7" i="18"/>
  <c r="C6" i="18"/>
  <c r="C4" i="18"/>
  <c r="C3" i="18"/>
  <c r="B7" i="17"/>
  <c r="B8" i="17" s="1"/>
  <c r="H16" i="14"/>
  <c r="E19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3" i="13"/>
  <c r="C19" i="13"/>
  <c r="D19" i="13" s="1"/>
  <c r="C18" i="13"/>
  <c r="D17" i="13"/>
  <c r="C16" i="13"/>
  <c r="C15" i="13"/>
  <c r="C14" i="13"/>
  <c r="D14" i="13" s="1"/>
  <c r="C10" i="13"/>
  <c r="D10" i="13" s="1"/>
  <c r="C13" i="13"/>
  <c r="C12" i="13"/>
  <c r="D12" i="13" s="1"/>
  <c r="C11" i="13"/>
  <c r="C9" i="13"/>
  <c r="D9" i="13" s="1"/>
  <c r="C8" i="13"/>
  <c r="C7" i="13"/>
  <c r="C5" i="13"/>
  <c r="D5" i="13" s="1"/>
  <c r="C6" i="13"/>
  <c r="D6" i="13" s="1"/>
  <c r="D4" i="13"/>
  <c r="D7" i="13"/>
  <c r="D8" i="13"/>
  <c r="D11" i="13"/>
  <c r="D13" i="13"/>
  <c r="D15" i="13"/>
  <c r="D18" i="13"/>
  <c r="D3" i="13"/>
  <c r="B19" i="13"/>
  <c r="H26" i="5"/>
  <c r="I26" i="5"/>
  <c r="J26" i="5"/>
  <c r="C5" i="12"/>
  <c r="D3" i="12"/>
  <c r="E3" i="12" s="1"/>
  <c r="C3" i="12"/>
  <c r="C6" i="12" s="1"/>
  <c r="B3" i="12"/>
  <c r="B4" i="12" s="1"/>
  <c r="C6" i="11"/>
  <c r="B6" i="11"/>
  <c r="C5" i="11"/>
  <c r="E3" i="11"/>
  <c r="C4" i="11"/>
  <c r="D4" i="11"/>
  <c r="B4" i="11"/>
  <c r="E4" i="11" s="1"/>
  <c r="C3" i="11"/>
  <c r="D3" i="11"/>
  <c r="B3" i="11"/>
  <c r="C4" i="10"/>
  <c r="D4" i="10"/>
  <c r="D5" i="11" s="1"/>
  <c r="C3" i="10"/>
  <c r="B3" i="10"/>
  <c r="B4" i="10" s="1"/>
  <c r="E2" i="10"/>
  <c r="D5" i="9"/>
  <c r="B5" i="9"/>
  <c r="E5" i="9" s="1"/>
  <c r="C4" i="9"/>
  <c r="D4" i="9"/>
  <c r="B4" i="9"/>
  <c r="C3" i="9"/>
  <c r="C5" i="9" s="1"/>
  <c r="D3" i="9"/>
  <c r="B3" i="9"/>
  <c r="C25" i="5"/>
  <c r="D25" i="5"/>
  <c r="B25" i="5"/>
  <c r="E28" i="5"/>
  <c r="F28" i="5"/>
  <c r="I5" i="5"/>
  <c r="J5" i="5"/>
  <c r="K5" i="5"/>
  <c r="J4" i="5"/>
  <c r="I4" i="5"/>
  <c r="K4" i="5"/>
  <c r="E4" i="7"/>
  <c r="F4" i="7"/>
  <c r="E5" i="7"/>
  <c r="F5" i="7" s="1"/>
  <c r="E6" i="7"/>
  <c r="F6" i="7"/>
  <c r="E7" i="7"/>
  <c r="F7" i="7" s="1"/>
  <c r="E8" i="7"/>
  <c r="F8" i="7"/>
  <c r="E9" i="7"/>
  <c r="F9" i="7" s="1"/>
  <c r="E10" i="7"/>
  <c r="F10" i="7"/>
  <c r="E11" i="7"/>
  <c r="F11" i="7" s="1"/>
  <c r="F3" i="7"/>
  <c r="E3" i="7"/>
  <c r="C4" i="7"/>
  <c r="D4" i="7"/>
  <c r="B4" i="7"/>
  <c r="C3" i="7"/>
  <c r="D3" i="7"/>
  <c r="B3" i="7"/>
  <c r="C12" i="7"/>
  <c r="C14" i="7" s="1"/>
  <c r="D12" i="7"/>
  <c r="D14" i="7" s="1"/>
  <c r="B12" i="7"/>
  <c r="B14" i="7" s="1"/>
  <c r="F8" i="6"/>
  <c r="E3" i="6"/>
  <c r="F3" i="6"/>
  <c r="E4" i="6"/>
  <c r="F4" i="6" s="1"/>
  <c r="E5" i="6"/>
  <c r="F5" i="6"/>
  <c r="E6" i="6"/>
  <c r="F6" i="6"/>
  <c r="E7" i="6"/>
  <c r="F7" i="6"/>
  <c r="F2" i="6"/>
  <c r="E2" i="6"/>
  <c r="C7" i="6"/>
  <c r="E4" i="5"/>
  <c r="F4" i="5" s="1"/>
  <c r="E5" i="5"/>
  <c r="F5" i="5" s="1"/>
  <c r="E6" i="5"/>
  <c r="F6" i="5" s="1"/>
  <c r="E7" i="5"/>
  <c r="F7" i="5"/>
  <c r="E8" i="5"/>
  <c r="F8" i="5" s="1"/>
  <c r="E9" i="5"/>
  <c r="F9" i="5"/>
  <c r="E10" i="5"/>
  <c r="F10" i="5" s="1"/>
  <c r="E11" i="5"/>
  <c r="F11" i="5"/>
  <c r="E12" i="5"/>
  <c r="F12" i="5" s="1"/>
  <c r="E13" i="5"/>
  <c r="F13" i="5"/>
  <c r="E14" i="5"/>
  <c r="F14" i="5" s="1"/>
  <c r="E15" i="5"/>
  <c r="F15" i="5"/>
  <c r="E20" i="5"/>
  <c r="F20" i="5" s="1"/>
  <c r="E21" i="5"/>
  <c r="F21" i="5"/>
  <c r="E22" i="5"/>
  <c r="F22" i="5" s="1"/>
  <c r="E23" i="5"/>
  <c r="F23" i="5"/>
  <c r="E24" i="5"/>
  <c r="F24" i="5" s="1"/>
  <c r="E26" i="5"/>
  <c r="F26" i="5" s="1"/>
  <c r="E27" i="5"/>
  <c r="F27" i="5"/>
  <c r="F3" i="5"/>
  <c r="E3" i="5"/>
  <c r="C27" i="5"/>
  <c r="D27" i="5"/>
  <c r="B27" i="5"/>
  <c r="B26" i="5"/>
  <c r="C23" i="5"/>
  <c r="D23" i="5"/>
  <c r="B23" i="5"/>
  <c r="C22" i="5"/>
  <c r="D22" i="5"/>
  <c r="B22" i="5"/>
  <c r="C24" i="5"/>
  <c r="D24" i="5"/>
  <c r="B24" i="5"/>
  <c r="G3" i="5"/>
  <c r="C5" i="5"/>
  <c r="C8" i="5" s="1"/>
  <c r="C13" i="5" s="1"/>
  <c r="D5" i="5"/>
  <c r="D8" i="5" s="1"/>
  <c r="D20" i="5" s="1"/>
  <c r="B5" i="5"/>
  <c r="B8" i="5" s="1"/>
  <c r="B13" i="5" s="1"/>
  <c r="B20" i="5" s="1"/>
  <c r="F12" i="4"/>
  <c r="G12" i="4"/>
  <c r="F13" i="4"/>
  <c r="G13" i="4" s="1"/>
  <c r="F14" i="4"/>
  <c r="G14" i="4"/>
  <c r="F3" i="4"/>
  <c r="G3" i="4" s="1"/>
  <c r="F4" i="4"/>
  <c r="G4" i="4" s="1"/>
  <c r="F5" i="4"/>
  <c r="G5" i="4" s="1"/>
  <c r="F6" i="4"/>
  <c r="G6" i="4" s="1"/>
  <c r="F7" i="4"/>
  <c r="G7" i="4" s="1"/>
  <c r="F8" i="4"/>
  <c r="G8" i="4" s="1"/>
  <c r="F9" i="4"/>
  <c r="G9" i="4" s="1"/>
  <c r="F10" i="4"/>
  <c r="G10" i="4" s="1"/>
  <c r="F11" i="4"/>
  <c r="G11" i="4" s="1"/>
  <c r="G2" i="4"/>
  <c r="F2" i="4"/>
  <c r="D18" i="4"/>
  <c r="E18" i="4"/>
  <c r="C18" i="4"/>
  <c r="D17" i="4"/>
  <c r="E17" i="4"/>
  <c r="C17" i="4"/>
  <c r="D16" i="4"/>
  <c r="E16" i="4"/>
  <c r="C16" i="4"/>
  <c r="D14" i="4"/>
  <c r="E14" i="4"/>
  <c r="C14" i="4"/>
  <c r="D6" i="4"/>
  <c r="E6" i="4"/>
  <c r="C6" i="4"/>
  <c r="D3" i="4"/>
  <c r="E3" i="4"/>
  <c r="D4" i="4"/>
  <c r="D5" i="4" s="1"/>
  <c r="E4" i="4"/>
  <c r="E5" i="4"/>
  <c r="C5" i="4"/>
  <c r="C3" i="4"/>
  <c r="C4" i="4"/>
  <c r="C3" i="3"/>
  <c r="D3" i="3"/>
  <c r="B3" i="3"/>
  <c r="F2" i="3"/>
  <c r="E2" i="3"/>
  <c r="C6" i="2"/>
  <c r="D6" i="2"/>
  <c r="B6" i="2"/>
  <c r="E3" i="2"/>
  <c r="F3" i="2" s="1"/>
  <c r="E4" i="2"/>
  <c r="F4" i="2" s="1"/>
  <c r="E5" i="2"/>
  <c r="F5" i="2"/>
  <c r="E2" i="2"/>
  <c r="F2" i="2" s="1"/>
  <c r="F3" i="1"/>
  <c r="F4" i="1"/>
  <c r="F5" i="1"/>
  <c r="F6" i="1"/>
  <c r="F2" i="1"/>
  <c r="E3" i="1"/>
  <c r="E4" i="1"/>
  <c r="E5" i="1"/>
  <c r="E6" i="1"/>
  <c r="E2" i="1"/>
  <c r="D15" i="20" l="1"/>
  <c r="E14" i="20"/>
  <c r="H21" i="14"/>
  <c r="E4" i="10"/>
  <c r="B5" i="11"/>
  <c r="E5" i="11" s="1"/>
  <c r="B5" i="12"/>
  <c r="D5" i="12"/>
  <c r="E4" i="9"/>
  <c r="B6" i="12"/>
  <c r="D4" i="12"/>
  <c r="E4" i="12" s="1"/>
  <c r="D6" i="12"/>
  <c r="E6" i="12" s="1"/>
  <c r="C4" i="12"/>
  <c r="E6" i="11"/>
  <c r="E3" i="10"/>
  <c r="E3" i="9"/>
  <c r="D16" i="5"/>
  <c r="D17" i="5" s="1"/>
  <c r="D18" i="5" s="1"/>
  <c r="E25" i="5"/>
  <c r="F25" i="5" s="1"/>
  <c r="B16" i="5"/>
  <c r="D11" i="7"/>
  <c r="D13" i="7" s="1"/>
  <c r="C11" i="7"/>
  <c r="C13" i="7" s="1"/>
  <c r="B11" i="7"/>
  <c r="B13" i="7" s="1"/>
  <c r="C20" i="5"/>
  <c r="C16" i="5" s="1"/>
  <c r="C17" i="5" s="1"/>
  <c r="C18" i="5" s="1"/>
  <c r="E3" i="3"/>
  <c r="F3" i="3" s="1"/>
  <c r="E6" i="2"/>
  <c r="F6" i="2" s="1"/>
  <c r="E15" i="20" l="1"/>
  <c r="E5" i="12"/>
  <c r="B5" i="15"/>
  <c r="D5" i="15" s="1"/>
  <c r="B17" i="5"/>
  <c r="E16" i="5"/>
  <c r="F16" i="5" s="1"/>
  <c r="C18" i="20" l="1"/>
  <c r="D16" i="20"/>
  <c r="E16" i="20" s="1"/>
  <c r="E17" i="5"/>
  <c r="F17" i="5" s="1"/>
  <c r="B18" i="5"/>
  <c r="C19" i="20" l="1"/>
  <c r="D19" i="20" s="1"/>
  <c r="E19" i="20" s="1"/>
  <c r="D18" i="20"/>
  <c r="E18" i="20" s="1"/>
  <c r="D16" i="13"/>
</calcChain>
</file>

<file path=xl/sharedStrings.xml><?xml version="1.0" encoding="utf-8"?>
<sst xmlns="http://schemas.openxmlformats.org/spreadsheetml/2006/main" count="286" uniqueCount="169">
  <si>
    <t>Время нахождения автомобиля в эксплуатации</t>
  </si>
  <si>
    <t>2013 г.</t>
  </si>
  <si>
    <t>2014 г.</t>
  </si>
  <si>
    <t>2015 г.</t>
  </si>
  <si>
    <t>До 5 лет</t>
  </si>
  <si>
    <t>5-10 лет</t>
  </si>
  <si>
    <t>10-15 лет</t>
  </si>
  <si>
    <t>Свыше 15 лет</t>
  </si>
  <si>
    <t>Итого:</t>
  </si>
  <si>
    <t>Показатель</t>
  </si>
  <si>
    <t>Водители</t>
  </si>
  <si>
    <t>Ремонтные и вспомогательные рабочие</t>
  </si>
  <si>
    <t>Служащие</t>
  </si>
  <si>
    <t>Итого</t>
  </si>
  <si>
    <t>Руководители</t>
  </si>
  <si>
    <t>Средняя заработная плата, руб.</t>
  </si>
  <si>
    <t>Фонд заработной платы, тыс.руб.</t>
  </si>
  <si>
    <t>Показатели</t>
  </si>
  <si>
    <t>Ед. изм.</t>
  </si>
  <si>
    <t>Среднесписочное количество ТС</t>
  </si>
  <si>
    <t>ед.</t>
  </si>
  <si>
    <t>Автомобиле-дни в хозяйстве</t>
  </si>
  <si>
    <t>Автомобиле-дни в работе</t>
  </si>
  <si>
    <t>Автомобиле-дни в ремонте</t>
  </si>
  <si>
    <t>Среднесуточный ходовой парк</t>
  </si>
  <si>
    <t>чел</t>
  </si>
  <si>
    <t>Коэффициент технической готовности</t>
  </si>
  <si>
    <t>-</t>
  </si>
  <si>
    <t>Коэффициент использования парка</t>
  </si>
  <si>
    <t>Коэффициент использования пробега</t>
  </si>
  <si>
    <t>Эксплуатационная скорость</t>
  </si>
  <si>
    <t>км/ч</t>
  </si>
  <si>
    <t>Среднесуточный пробег</t>
  </si>
  <si>
    <t>км</t>
  </si>
  <si>
    <t>Общий пробег</t>
  </si>
  <si>
    <t>тыс. км</t>
  </si>
  <si>
    <t>Средняя пассажировместимость автобусов</t>
  </si>
  <si>
    <t>тонн</t>
  </si>
  <si>
    <t>Средняя грузоподъёмность автомобилей</t>
  </si>
  <si>
    <t>Год</t>
  </si>
  <si>
    <r>
      <t>Себестоимость</t>
    </r>
    <r>
      <rPr>
        <sz val="10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работ</t>
    </r>
    <r>
      <rPr>
        <sz val="10"/>
        <color theme="1"/>
        <rFont val="Times New Roman"/>
        <family val="1"/>
        <charset val="204"/>
      </rPr>
      <t xml:space="preserve"> и</t>
    </r>
    <r>
      <rPr>
        <sz val="12"/>
        <color theme="1"/>
        <rFont val="Times New Roman"/>
        <family val="1"/>
        <charset val="204"/>
      </rPr>
      <t xml:space="preserve"> услуг</t>
    </r>
  </si>
  <si>
    <t>Валовая прибыль</t>
  </si>
  <si>
    <t>Коммерческие расходы</t>
  </si>
  <si>
    <t>Управленческие расходы</t>
  </si>
  <si>
    <t>Прибыль (убыток) от продаж</t>
  </si>
  <si>
    <t>Проценты к получению</t>
  </si>
  <si>
    <t>Проценты к уплате</t>
  </si>
  <si>
    <t>Прочие доходы</t>
  </si>
  <si>
    <t>Прочие расходы</t>
  </si>
  <si>
    <t>Прибыль (убыток) до налогообложения</t>
  </si>
  <si>
    <t>Отложенные налоговые активы</t>
  </si>
  <si>
    <t>Отложенные налоговые обязательства</t>
  </si>
  <si>
    <t>Чистая прибыль (убыток) отчетного периода</t>
  </si>
  <si>
    <t>Налоговые платежи и сборы</t>
  </si>
  <si>
    <t>Земельный налог</t>
  </si>
  <si>
    <t>Транспортный налог</t>
  </si>
  <si>
    <t>Отчисления в фонд социального и медицинского страхования</t>
  </si>
  <si>
    <t>Сбор за загрязнение окружающей среды (сверхнормативные выбросы)</t>
  </si>
  <si>
    <t>Страхование пассажиров от несчастных случаев</t>
  </si>
  <si>
    <t>Выручка</t>
  </si>
  <si>
    <t>Вид деятельности</t>
  </si>
  <si>
    <t>2013 г</t>
  </si>
  <si>
    <t>Перевозка пассажиров</t>
  </si>
  <si>
    <t>Перевозка грузов</t>
  </si>
  <si>
    <t>Услуги по ремонту ТС</t>
  </si>
  <si>
    <t>Услуги по техосмотру ТС</t>
  </si>
  <si>
    <t>Мойка ТС</t>
  </si>
  <si>
    <t>ИТОГО:</t>
  </si>
  <si>
    <t>Статьи</t>
  </si>
  <si>
    <t>Сумма по годам, тыс. руб.</t>
  </si>
  <si>
    <t>Зарплата</t>
  </si>
  <si>
    <t>Отчисления</t>
  </si>
  <si>
    <t>Топливо</t>
  </si>
  <si>
    <t>Смазочные материалы</t>
  </si>
  <si>
    <t>Автошины</t>
  </si>
  <si>
    <t>ТО и ремонт</t>
  </si>
  <si>
    <t>Амортизация</t>
  </si>
  <si>
    <t>Накладные расходы</t>
  </si>
  <si>
    <t>Налог на прибыль</t>
  </si>
  <si>
    <t>Налог на имущество</t>
  </si>
  <si>
    <r>
      <t>2013</t>
    </r>
    <r>
      <rPr>
        <sz val="11"/>
        <color theme="1"/>
        <rFont val="Times New Roman"/>
        <family val="1"/>
        <charset val="204"/>
      </rPr>
      <t xml:space="preserve"> г.</t>
    </r>
  </si>
  <si>
    <r>
      <t>2014</t>
    </r>
    <r>
      <rPr>
        <sz val="11"/>
        <color theme="1"/>
        <rFont val="Times New Roman"/>
        <family val="1"/>
        <charset val="204"/>
      </rPr>
      <t xml:space="preserve"> г.</t>
    </r>
  </si>
  <si>
    <r>
      <t>2015</t>
    </r>
    <r>
      <rPr>
        <sz val="11"/>
        <color theme="1"/>
        <rFont val="Times New Roman"/>
        <family val="1"/>
        <charset val="204"/>
      </rPr>
      <t xml:space="preserve"> г.</t>
    </r>
  </si>
  <si>
    <t>Отклонение,</t>
  </si>
  <si>
    <t>(+;-)</t>
  </si>
  <si>
    <t>Общая сумма всех уплаченных налогов и сборов</t>
  </si>
  <si>
    <t>Размер налоговой нагрузки, %</t>
  </si>
  <si>
    <t>Отклонение, (+;-)</t>
  </si>
  <si>
    <t>Общая сумма всех уплаченных налогов</t>
  </si>
  <si>
    <t>Вновь созданная стоимость</t>
  </si>
  <si>
    <r>
      <t>Общая сумма всех уплаченных налогов, тыс.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руб.</t>
    </r>
  </si>
  <si>
    <t>Доля налогов в выручке от продаж, %</t>
  </si>
  <si>
    <t>Доля налогов во вновь созданной стоимости, %</t>
  </si>
  <si>
    <t>Доля налогов в чистой прибыли, %</t>
  </si>
  <si>
    <t>Налоговая нагрузка по методике Минфина России</t>
  </si>
  <si>
    <t>Налоговая нагрузка по методике  Е.А. Кировой</t>
  </si>
  <si>
    <t>Налоговая нагрузка по методике  М.И. Литвина</t>
  </si>
  <si>
    <t>Факт (2015 г.)</t>
  </si>
  <si>
    <t>План</t>
  </si>
  <si>
    <t>Изменение,</t>
  </si>
  <si>
    <r>
      <t xml:space="preserve">Коэффициент </t>
    </r>
    <r>
      <rPr>
        <sz val="12"/>
        <color theme="1"/>
        <rFont val="Times New Roman"/>
        <family val="1"/>
        <charset val="204"/>
      </rPr>
      <t>технической готовности</t>
    </r>
  </si>
  <si>
    <r>
      <t xml:space="preserve">Эксплуатационная </t>
    </r>
    <r>
      <rPr>
        <sz val="12"/>
        <color theme="1"/>
        <rFont val="Times New Roman"/>
        <family val="1"/>
        <charset val="204"/>
      </rPr>
      <t>скорость</t>
    </r>
  </si>
  <si>
    <r>
      <t>Автомобили</t>
    </r>
    <r>
      <rPr>
        <sz val="12"/>
        <color theme="1"/>
        <rFont val="Times New Roman"/>
        <family val="1"/>
        <charset val="204"/>
      </rPr>
      <t>-дни в работе</t>
    </r>
  </si>
  <si>
    <r>
      <t xml:space="preserve">Объем </t>
    </r>
    <r>
      <rPr>
        <sz val="12"/>
        <color theme="1"/>
        <rFont val="Times New Roman"/>
        <family val="1"/>
        <charset val="204"/>
      </rPr>
      <t>перевозок пассажиров</t>
    </r>
  </si>
  <si>
    <r>
      <t xml:space="preserve">Объем </t>
    </r>
    <r>
      <rPr>
        <sz val="12"/>
        <color theme="1"/>
        <rFont val="Times New Roman"/>
        <family val="1"/>
        <charset val="204"/>
      </rPr>
      <t>перевозок грузов</t>
    </r>
  </si>
  <si>
    <r>
      <t xml:space="preserve">Себестоимость </t>
    </r>
    <r>
      <rPr>
        <sz val="12"/>
        <color theme="1"/>
        <rFont val="Times New Roman"/>
        <family val="1"/>
        <charset val="204"/>
      </rPr>
      <t>работ и услуг, в т.ч.:</t>
    </r>
  </si>
  <si>
    <r>
      <t xml:space="preserve">расходы </t>
    </r>
    <r>
      <rPr>
        <sz val="12"/>
        <color theme="1"/>
        <rFont val="Times New Roman"/>
        <family val="1"/>
        <charset val="204"/>
      </rPr>
      <t>на текущий, капитальный и восстановительный ремонт подвижного состава</t>
    </r>
  </si>
  <si>
    <r>
      <t>расход</t>
    </r>
    <r>
      <rPr>
        <sz val="11"/>
        <color theme="1"/>
        <rFont val="Times New Roman"/>
        <family val="1"/>
        <charset val="204"/>
      </rPr>
      <t>ы</t>
    </r>
    <r>
      <rPr>
        <sz val="12"/>
        <color theme="1"/>
        <rFont val="Times New Roman"/>
        <family val="1"/>
        <charset val="204"/>
      </rPr>
      <t xml:space="preserve"> на топливо</t>
    </r>
  </si>
  <si>
    <r>
      <t>расход</t>
    </r>
    <r>
      <rPr>
        <sz val="11"/>
        <color theme="1"/>
        <rFont val="Times New Roman"/>
        <family val="1"/>
        <charset val="204"/>
      </rPr>
      <t>ы</t>
    </r>
    <r>
      <rPr>
        <sz val="12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на </t>
    </r>
    <r>
      <rPr>
        <sz val="12"/>
        <color theme="1"/>
        <rFont val="Times New Roman"/>
        <family val="1"/>
        <charset val="204"/>
      </rPr>
      <t>смазочные материалы</t>
    </r>
  </si>
  <si>
    <t>Прибыль до налогообложения</t>
  </si>
  <si>
    <t>Общая сумма всех уплаченных налогов, тыс. руб.</t>
  </si>
  <si>
    <r>
      <t>Чистая прибыль</t>
    </r>
    <r>
      <rPr>
        <sz val="11"/>
        <color theme="1"/>
        <rFont val="Times New Roman"/>
        <family val="1"/>
        <charset val="204"/>
      </rPr>
      <t xml:space="preserve"> (убыток)</t>
    </r>
  </si>
  <si>
    <t>Рентабельность, %</t>
  </si>
  <si>
    <t xml:space="preserve">Пассажирские </t>
  </si>
  <si>
    <t>ГАЗ 2752 Газель</t>
  </si>
  <si>
    <t>Икарус 260</t>
  </si>
  <si>
    <t>КАВЗ-4238-71</t>
  </si>
  <si>
    <t>ЛиАЗ 5256</t>
  </si>
  <si>
    <t>ЛиАЗ 6213</t>
  </si>
  <si>
    <t>ПАЗ 320414</t>
  </si>
  <si>
    <t>ПАЗ 3205 ОА</t>
  </si>
  <si>
    <t>ПАЗ-3205</t>
  </si>
  <si>
    <t>Грузовые</t>
  </si>
  <si>
    <t>КамАЗ-5320-R</t>
  </si>
  <si>
    <t>КамАЗ-53205</t>
  </si>
  <si>
    <t>ЗиЛ-431610</t>
  </si>
  <si>
    <t>Всего</t>
  </si>
  <si>
    <t>Количество ТС, требующих замены, ед.</t>
  </si>
  <si>
    <t>Цена 1 ед. новой техники, тыс.руб.</t>
  </si>
  <si>
    <t>Общая стоимость закупки, тыс.руб.</t>
  </si>
  <si>
    <t>Марка нового ТС</t>
  </si>
  <si>
    <t>Марка действующего ТС</t>
  </si>
  <si>
    <t>МАЗ-241</t>
  </si>
  <si>
    <t>Начислено амортизационных отчислений, тыс.руб.</t>
  </si>
  <si>
    <t>Суммарная выручка от продажи ТС, требующих замены, тыс.руб.</t>
  </si>
  <si>
    <t>Рыночная стоимость ТС, требующих замены, тыс.руб.</t>
  </si>
  <si>
    <t>средн.цена</t>
  </si>
  <si>
    <t>Валовая прибыль от замены</t>
  </si>
  <si>
    <t>Можно ещё купить, ед</t>
  </si>
  <si>
    <t>Форд Транзит 155Т460</t>
  </si>
  <si>
    <t>Величина показателя</t>
  </si>
  <si>
    <t>Начислено амортизационных отчислений</t>
  </si>
  <si>
    <t>Расходы на предпродажную подготовку</t>
  </si>
  <si>
    <t>Чистый доход после замены</t>
  </si>
  <si>
    <t>Средняя цена  единицы новой техники</t>
  </si>
  <si>
    <t>Накладные расходы на рекламу по продаже старой техники</t>
  </si>
  <si>
    <t>Размер финансовых средств в распоряжении предприятия после продажи устаревшей техники</t>
  </si>
  <si>
    <t>Общая стоимость закупки новой техники</t>
  </si>
  <si>
    <t>Дополнительные расходы на закупку и регистрацию новых ТС</t>
  </si>
  <si>
    <t>Выручка от продажи ТС, требующих замены</t>
  </si>
  <si>
    <t>Компонент</t>
  </si>
  <si>
    <t>Показатель выброса карбюраторных ТС</t>
  </si>
  <si>
    <t>Показатель выброса дизельных ТС</t>
  </si>
  <si>
    <t>CO</t>
  </si>
  <si>
    <t>NOX</t>
  </si>
  <si>
    <t>СХHY</t>
  </si>
  <si>
    <t>Бенз(а)пирен</t>
  </si>
  <si>
    <t>Альдегиды</t>
  </si>
  <si>
    <t>Сажа</t>
  </si>
  <si>
    <t>Всего:</t>
  </si>
  <si>
    <t>Экологический класс ТС</t>
  </si>
  <si>
    <t>Количество ТС, ед.</t>
  </si>
  <si>
    <t>Доля в общей численности ТС, %</t>
  </si>
  <si>
    <t>Класс 2</t>
  </si>
  <si>
    <t>Класс 3</t>
  </si>
  <si>
    <t>Класс 4</t>
  </si>
  <si>
    <t>Класс 5</t>
  </si>
  <si>
    <t>Взносы в социальные Фонды (ПФР, ФОС, ФОМС)</t>
  </si>
  <si>
    <t>Изменение, (+,-)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</si>
</sst>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#,##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2" borderId="3" xfId="0" applyFont="1" applyFill="1" applyBorder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5" fontId="4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6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" fontId="1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1" fontId="4" fillId="0" borderId="3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2" fillId="0" borderId="3" xfId="0" applyFont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 wrapText="1"/>
    </xf>
    <xf numFmtId="166" fontId="0" fillId="0" borderId="0" xfId="0" applyNumberFormat="1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 indent="3"/>
    </xf>
    <xf numFmtId="0" fontId="4" fillId="0" borderId="3" xfId="0" applyFont="1" applyBorder="1" applyAlignment="1">
      <alignment horizontal="left" vertical="center" wrapText="1" indent="3"/>
    </xf>
    <xf numFmtId="0" fontId="8" fillId="0" borderId="3" xfId="0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1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0" fillId="3" borderId="0" xfId="0" applyFill="1"/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"/>
          <c:y val="0"/>
          <c:w val="0.65"/>
          <c:h val="1"/>
        </c:manualLayout>
      </c:layout>
      <c:pieChart>
        <c:varyColors val="1"/>
        <c:ser>
          <c:idx val="0"/>
          <c:order val="0"/>
          <c:tx>
            <c:strRef>
              <c:f>Лист1!$B$1</c:f>
              <c:strCache>
                <c:ptCount val="1"/>
                <c:pt idx="0">
                  <c:v>2013 г.</c:v>
                </c:pt>
              </c:strCache>
            </c:strRef>
          </c:tx>
          <c:explosion val="28"/>
          <c:dPt>
            <c:idx val="0"/>
            <c:bubble3D val="0"/>
            <c:explosion val="6"/>
          </c:dPt>
          <c:dPt>
            <c:idx val="1"/>
            <c:bubble3D val="0"/>
            <c:explosion val="7"/>
          </c:dPt>
          <c:dPt>
            <c:idx val="2"/>
            <c:bubble3D val="0"/>
            <c:explosion val="4"/>
          </c:dPt>
          <c:dPt>
            <c:idx val="3"/>
            <c:bubble3D val="0"/>
            <c:explosion val="5"/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Лист1!$A$2:$A$5</c:f>
              <c:strCache>
                <c:ptCount val="4"/>
                <c:pt idx="0">
                  <c:v>До 5 лет</c:v>
                </c:pt>
                <c:pt idx="1">
                  <c:v>5-10 лет</c:v>
                </c:pt>
                <c:pt idx="2">
                  <c:v>10-15 лет</c:v>
                </c:pt>
                <c:pt idx="3">
                  <c:v>Свыше 15 лет</c:v>
                </c:pt>
              </c:strCache>
            </c:strRef>
          </c:cat>
          <c:val>
            <c:numRef>
              <c:f>Лист1!$B$2:$B$5</c:f>
              <c:numCache>
                <c:formatCode>General</c:formatCode>
                <c:ptCount val="4"/>
                <c:pt idx="0">
                  <c:v>75</c:v>
                </c:pt>
                <c:pt idx="1">
                  <c:v>279</c:v>
                </c:pt>
                <c:pt idx="2">
                  <c:v>229</c:v>
                </c:pt>
                <c:pt idx="3">
                  <c:v>131</c:v>
                </c:pt>
              </c:numCache>
            </c:numRef>
          </c:val>
        </c:ser>
        <c:ser>
          <c:idx val="1"/>
          <c:order val="1"/>
          <c:tx>
            <c:strRef>
              <c:f>Лист1!$C$1</c:f>
              <c:strCache>
                <c:ptCount val="1"/>
                <c:pt idx="0">
                  <c:v>2014 г.</c:v>
                </c:pt>
              </c:strCache>
            </c:strRef>
          </c:tx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Лист1!$A$2:$A$5</c:f>
              <c:strCache>
                <c:ptCount val="4"/>
                <c:pt idx="0">
                  <c:v>До 5 лет</c:v>
                </c:pt>
                <c:pt idx="1">
                  <c:v>5-10 лет</c:v>
                </c:pt>
                <c:pt idx="2">
                  <c:v>10-15 лет</c:v>
                </c:pt>
                <c:pt idx="3">
                  <c:v>Свыше 15 лет</c:v>
                </c:pt>
              </c:strCache>
            </c:strRef>
          </c:cat>
          <c:val>
            <c:numRef>
              <c:f>Лист1!$C$2:$C$5</c:f>
              <c:numCache>
                <c:formatCode>General</c:formatCode>
                <c:ptCount val="4"/>
                <c:pt idx="0">
                  <c:v>54</c:v>
                </c:pt>
                <c:pt idx="1">
                  <c:v>155</c:v>
                </c:pt>
                <c:pt idx="2">
                  <c:v>276</c:v>
                </c:pt>
                <c:pt idx="3">
                  <c:v>169</c:v>
                </c:pt>
              </c:numCache>
            </c:numRef>
          </c:val>
        </c:ser>
        <c:ser>
          <c:idx val="2"/>
          <c:order val="2"/>
          <c:tx>
            <c:strRef>
              <c:f>Лист1!$D$1</c:f>
              <c:strCache>
                <c:ptCount val="1"/>
                <c:pt idx="0">
                  <c:v>2015 г.</c:v>
                </c:pt>
              </c:strCache>
            </c:strRef>
          </c:tx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Лист1!$A$2:$A$5</c:f>
              <c:strCache>
                <c:ptCount val="4"/>
                <c:pt idx="0">
                  <c:v>До 5 лет</c:v>
                </c:pt>
                <c:pt idx="1">
                  <c:v>5-10 лет</c:v>
                </c:pt>
                <c:pt idx="2">
                  <c:v>10-15 лет</c:v>
                </c:pt>
                <c:pt idx="3">
                  <c:v>Свыше 15 лет</c:v>
                </c:pt>
              </c:strCache>
            </c:strRef>
          </c:cat>
          <c:val>
            <c:numRef>
              <c:f>Лист1!$D$2:$D$5</c:f>
              <c:numCache>
                <c:formatCode>General</c:formatCode>
                <c:ptCount val="4"/>
                <c:pt idx="0">
                  <c:v>35</c:v>
                </c:pt>
                <c:pt idx="1">
                  <c:v>142</c:v>
                </c:pt>
                <c:pt idx="2">
                  <c:v>213</c:v>
                </c:pt>
                <c:pt idx="3">
                  <c:v>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3799978127734034"/>
          <c:y val="0.26518700787401572"/>
          <c:w val="0.245333552055993"/>
          <c:h val="0.4861767279090114"/>
        </c:manualLayout>
      </c:layout>
      <c:overlay val="0"/>
      <c:txPr>
        <a:bodyPr/>
        <a:lstStyle/>
        <a:p>
          <a:pPr rtl="0">
            <a:defRPr/>
          </a:pPr>
          <a:endParaRPr lang="ru-RU"/>
        </a:p>
      </c:txPr>
    </c:legend>
    <c:plotVisOnly val="1"/>
    <c:dispBlanksAs val="gap"/>
    <c:showDLblsOverMax val="0"/>
  </c:chart>
  <c:txPr>
    <a:bodyPr/>
    <a:lstStyle/>
    <a:p>
      <a:pPr>
        <a:defRPr sz="1200"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b="1" i="0"/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6.6573709536307965E-2"/>
          <c:y val="8.3333333333333329E-2"/>
          <c:w val="0.53818569553805773"/>
          <c:h val="0.89697615923009621"/>
        </c:manualLayout>
      </c:layout>
      <c:pieChart>
        <c:varyColors val="1"/>
        <c:ser>
          <c:idx val="0"/>
          <c:order val="0"/>
          <c:tx>
            <c:strRef>
              <c:f>Лист1!$D$1</c:f>
              <c:strCache>
                <c:ptCount val="1"/>
                <c:pt idx="0">
                  <c:v>2015 г.</c:v>
                </c:pt>
              </c:strCache>
            </c:strRef>
          </c:tx>
          <c:explosion val="6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Лист1!$A$2:$A$5</c:f>
              <c:strCache>
                <c:ptCount val="4"/>
                <c:pt idx="0">
                  <c:v>До 5 лет</c:v>
                </c:pt>
                <c:pt idx="1">
                  <c:v>5-10 лет</c:v>
                </c:pt>
                <c:pt idx="2">
                  <c:v>10-15 лет</c:v>
                </c:pt>
                <c:pt idx="3">
                  <c:v>Свыше 15 лет</c:v>
                </c:pt>
              </c:strCache>
            </c:strRef>
          </c:cat>
          <c:val>
            <c:numRef>
              <c:f>Лист1!$D$2:$D$5</c:f>
              <c:numCache>
                <c:formatCode>General</c:formatCode>
                <c:ptCount val="4"/>
                <c:pt idx="0">
                  <c:v>35</c:v>
                </c:pt>
                <c:pt idx="1">
                  <c:v>142</c:v>
                </c:pt>
                <c:pt idx="2">
                  <c:v>213</c:v>
                </c:pt>
                <c:pt idx="3">
                  <c:v>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3799978127734034"/>
          <c:y val="0.27907589676290462"/>
          <c:w val="0.245333552055993"/>
          <c:h val="0.4722878390201225"/>
        </c:manualLayout>
      </c:layout>
      <c:overlay val="0"/>
      <c:txPr>
        <a:bodyPr/>
        <a:lstStyle/>
        <a:p>
          <a:pPr rtl="0">
            <a:defRPr i="0"/>
          </a:pPr>
          <a:endParaRPr lang="ru-RU"/>
        </a:p>
      </c:txPr>
    </c:legend>
    <c:plotVisOnly val="1"/>
    <c:dispBlanksAs val="gap"/>
    <c:showDLblsOverMax val="0"/>
  </c:chart>
  <c:txPr>
    <a:bodyPr/>
    <a:lstStyle/>
    <a:p>
      <a:pPr>
        <a:defRPr sz="1200" b="0" i="1"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Лист5!$A$3</c:f>
              <c:strCache>
                <c:ptCount val="1"/>
                <c:pt idx="0">
                  <c:v>Выручка</c:v>
                </c:pt>
              </c:strCache>
            </c:strRef>
          </c:tx>
          <c:invertIfNegative val="0"/>
          <c:cat>
            <c:strRef>
              <c:f>Лист5!$B$2:$D$2</c:f>
              <c:strCache>
                <c:ptCount val="3"/>
                <c:pt idx="0">
                  <c:v>2013 г.</c:v>
                </c:pt>
                <c:pt idx="1">
                  <c:v>2014 г.</c:v>
                </c:pt>
                <c:pt idx="2">
                  <c:v>2015 г.</c:v>
                </c:pt>
              </c:strCache>
            </c:strRef>
          </c:cat>
          <c:val>
            <c:numRef>
              <c:f>Лист5!$B$3:$D$3</c:f>
              <c:numCache>
                <c:formatCode>General</c:formatCode>
                <c:ptCount val="3"/>
                <c:pt idx="0">
                  <c:v>3545174</c:v>
                </c:pt>
                <c:pt idx="1">
                  <c:v>2770075</c:v>
                </c:pt>
                <c:pt idx="2">
                  <c:v>1744004</c:v>
                </c:pt>
              </c:numCache>
            </c:numRef>
          </c:val>
        </c:ser>
        <c:ser>
          <c:idx val="1"/>
          <c:order val="1"/>
          <c:tx>
            <c:strRef>
              <c:f>Лист5!$A$4</c:f>
              <c:strCache>
                <c:ptCount val="1"/>
                <c:pt idx="0">
                  <c:v>Себестоимость работ и услуг</c:v>
                </c:pt>
              </c:strCache>
            </c:strRef>
          </c:tx>
          <c:invertIfNegative val="0"/>
          <c:cat>
            <c:strRef>
              <c:f>Лист5!$B$2:$D$2</c:f>
              <c:strCache>
                <c:ptCount val="3"/>
                <c:pt idx="0">
                  <c:v>2013 г.</c:v>
                </c:pt>
                <c:pt idx="1">
                  <c:v>2014 г.</c:v>
                </c:pt>
                <c:pt idx="2">
                  <c:v>2015 г.</c:v>
                </c:pt>
              </c:strCache>
            </c:strRef>
          </c:cat>
          <c:val>
            <c:numRef>
              <c:f>Лист5!$B$4:$D$4</c:f>
              <c:numCache>
                <c:formatCode>General</c:formatCode>
                <c:ptCount val="3"/>
                <c:pt idx="0">
                  <c:v>2481622</c:v>
                </c:pt>
                <c:pt idx="1">
                  <c:v>1751084</c:v>
                </c:pt>
                <c:pt idx="2">
                  <c:v>1411006</c:v>
                </c:pt>
              </c:numCache>
            </c:numRef>
          </c:val>
        </c:ser>
        <c:ser>
          <c:idx val="2"/>
          <c:order val="2"/>
          <c:tx>
            <c:strRef>
              <c:f>Лист5!$A$17</c:f>
              <c:strCache>
                <c:ptCount val="1"/>
                <c:pt idx="0">
                  <c:v>Чистая прибыль (убыток) отчетного периода</c:v>
                </c:pt>
              </c:strCache>
            </c:strRef>
          </c:tx>
          <c:invertIfNegative val="0"/>
          <c:cat>
            <c:strRef>
              <c:f>Лист5!$B$2:$D$2</c:f>
              <c:strCache>
                <c:ptCount val="3"/>
                <c:pt idx="0">
                  <c:v>2013 г.</c:v>
                </c:pt>
                <c:pt idx="1">
                  <c:v>2014 г.</c:v>
                </c:pt>
                <c:pt idx="2">
                  <c:v>2015 г.</c:v>
                </c:pt>
              </c:strCache>
            </c:strRef>
          </c:cat>
          <c:val>
            <c:numRef>
              <c:f>Лист5!$B$17:$D$17</c:f>
              <c:numCache>
                <c:formatCode>0</c:formatCode>
                <c:ptCount val="3"/>
                <c:pt idx="0">
                  <c:v>464320.95367999998</c:v>
                </c:pt>
                <c:pt idx="1">
                  <c:v>330712.11112000002</c:v>
                </c:pt>
                <c:pt idx="2">
                  <c:v>-84247.687839999999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350080"/>
        <c:axId val="168351616"/>
        <c:axId val="0"/>
      </c:bar3DChart>
      <c:catAx>
        <c:axId val="168350080"/>
        <c:scaling>
          <c:orientation val="minMax"/>
        </c:scaling>
        <c:delete val="0"/>
        <c:axPos val="b"/>
        <c:majorTickMark val="out"/>
        <c:minorTickMark val="none"/>
        <c:tickLblPos val="nextTo"/>
        <c:crossAx val="168351616"/>
        <c:crosses val="autoZero"/>
        <c:auto val="1"/>
        <c:lblAlgn val="ctr"/>
        <c:lblOffset val="100"/>
        <c:noMultiLvlLbl val="0"/>
      </c:catAx>
      <c:valAx>
        <c:axId val="168351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83500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0089469948331929E-2"/>
          <c:y val="1.1217713170469074E-2"/>
          <c:w val="0.63345515772792549"/>
          <c:h val="0.95363294972743795"/>
        </c:manualLayout>
      </c:layout>
      <c:pie3DChart>
        <c:varyColors val="1"/>
        <c:ser>
          <c:idx val="0"/>
          <c:order val="0"/>
          <c:explosion val="25"/>
          <c:dLbls>
            <c:txPr>
              <a:bodyPr/>
              <a:lstStyle/>
              <a:p>
                <a:pPr>
                  <a:defRPr sz="1100" b="1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Лист5!$A$20:$A$27</c:f>
              <c:strCache>
                <c:ptCount val="8"/>
                <c:pt idx="0">
                  <c:v>Налог на прибыль</c:v>
                </c:pt>
                <c:pt idx="1">
                  <c:v>Налог на имущество</c:v>
                </c:pt>
                <c:pt idx="2">
                  <c:v>Земельный налог</c:v>
                </c:pt>
                <c:pt idx="3">
                  <c:v>Транспортный налог</c:v>
                </c:pt>
                <c:pt idx="4">
                  <c:v>Взносы в социальные Фонды (ПФР, ФОС, ФОМС)</c:v>
                </c:pt>
                <c:pt idx="5">
                  <c:v>Отчисления в фонд социального и медицинского страхования</c:v>
                </c:pt>
                <c:pt idx="6">
                  <c:v>Сбор за загрязнение окружающей среды (сверхнормативные выбросы)</c:v>
                </c:pt>
                <c:pt idx="7">
                  <c:v>Страхование пассажиров от несчастных случаев</c:v>
                </c:pt>
              </c:strCache>
            </c:strRef>
          </c:cat>
          <c:val>
            <c:numRef>
              <c:f>Лист5!$D$20:$D$27</c:f>
              <c:numCache>
                <c:formatCode>0.0</c:formatCode>
                <c:ptCount val="8"/>
                <c:pt idx="0">
                  <c:v>7528.4000000000005</c:v>
                </c:pt>
                <c:pt idx="1">
                  <c:v>4111</c:v>
                </c:pt>
                <c:pt idx="2">
                  <c:v>42600</c:v>
                </c:pt>
                <c:pt idx="3">
                  <c:v>3068</c:v>
                </c:pt>
                <c:pt idx="4">
                  <c:v>65375.015999999996</c:v>
                </c:pt>
                <c:pt idx="5">
                  <c:v>1681.0718400000001</c:v>
                </c:pt>
                <c:pt idx="6">
                  <c:v>665</c:v>
                </c:pt>
                <c:pt idx="7">
                  <c:v>4354.2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 rtl="0">
            <a:defRPr sz="900"/>
          </a:pPr>
          <a:endParaRPr lang="ru-RU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2150262467191604E-2"/>
          <c:y val="3.0092592592592591E-2"/>
          <c:w val="0.60010367454068236"/>
          <c:h val="0.91203703703703709"/>
        </c:manualLayout>
      </c:layout>
      <c:pie3DChart>
        <c:varyColors val="1"/>
        <c:ser>
          <c:idx val="0"/>
          <c:order val="0"/>
          <c:explosion val="25"/>
          <c:dLbls>
            <c:dLbl>
              <c:idx val="1"/>
              <c:layout>
                <c:manualLayout>
                  <c:x val="-7.7354549431321085E-2"/>
                  <c:y val="-1.1543452901720617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4.6789370078740157E-2"/>
                  <c:y val="-9.1404564012831729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5.2519028871391073E-2"/>
                  <c:y val="-7.288604549431321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7.1269028871391082E-2"/>
                  <c:y val="1.391951006124234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Лист6!$A$2:$A$6</c:f>
              <c:strCache>
                <c:ptCount val="5"/>
                <c:pt idx="0">
                  <c:v>Перевозка пассажиров</c:v>
                </c:pt>
                <c:pt idx="1">
                  <c:v>Перевозка грузов</c:v>
                </c:pt>
                <c:pt idx="2">
                  <c:v>Услуги по ремонту ТС</c:v>
                </c:pt>
                <c:pt idx="3">
                  <c:v>Услуги по техосмотру ТС</c:v>
                </c:pt>
                <c:pt idx="4">
                  <c:v>Мойка ТС</c:v>
                </c:pt>
              </c:strCache>
            </c:strRef>
          </c:cat>
          <c:val>
            <c:numRef>
              <c:f>Лист6!$B$2:$B$6</c:f>
              <c:numCache>
                <c:formatCode>#,##0</c:formatCode>
                <c:ptCount val="5"/>
                <c:pt idx="0">
                  <c:v>3165474</c:v>
                </c:pt>
                <c:pt idx="1">
                  <c:v>366600</c:v>
                </c:pt>
                <c:pt idx="2">
                  <c:v>7501</c:v>
                </c:pt>
                <c:pt idx="3">
                  <c:v>3476</c:v>
                </c:pt>
                <c:pt idx="4">
                  <c:v>2123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ru-RU"/>
        </a:p>
      </c:txPr>
    </c:legend>
    <c:plotVisOnly val="1"/>
    <c:dispBlanksAs val="gap"/>
    <c:showDLblsOverMax val="0"/>
  </c:chart>
  <c:txPr>
    <a:bodyPr/>
    <a:lstStyle/>
    <a:p>
      <a:pPr>
        <a:defRPr sz="1200"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Лист7!$A$3:$A$10</c:f>
              <c:strCache>
                <c:ptCount val="8"/>
                <c:pt idx="0">
                  <c:v>Зарплата</c:v>
                </c:pt>
                <c:pt idx="1">
                  <c:v>Отчисления</c:v>
                </c:pt>
                <c:pt idx="2">
                  <c:v>Топливо</c:v>
                </c:pt>
                <c:pt idx="3">
                  <c:v>Смазочные материалы</c:v>
                </c:pt>
                <c:pt idx="4">
                  <c:v>Автошины</c:v>
                </c:pt>
                <c:pt idx="5">
                  <c:v>ТО и ремонт</c:v>
                </c:pt>
                <c:pt idx="6">
                  <c:v>Амортизация</c:v>
                </c:pt>
                <c:pt idx="7">
                  <c:v>Накладные расходы</c:v>
                </c:pt>
              </c:strCache>
            </c:strRef>
          </c:cat>
          <c:val>
            <c:numRef>
              <c:f>Лист7!$D$3:$D$10</c:f>
              <c:numCache>
                <c:formatCode>0.0</c:formatCode>
                <c:ptCount val="8"/>
                <c:pt idx="0">
                  <c:v>186785.76</c:v>
                </c:pt>
                <c:pt idx="1">
                  <c:v>6537.5016000000005</c:v>
                </c:pt>
                <c:pt idx="2">
                  <c:v>1199664.2383999999</c:v>
                </c:pt>
                <c:pt idx="3">
                  <c:v>258.60000000000002</c:v>
                </c:pt>
                <c:pt idx="4">
                  <c:v>1740.9</c:v>
                </c:pt>
                <c:pt idx="5">
                  <c:v>2115.4</c:v>
                </c:pt>
                <c:pt idx="6">
                  <c:v>10339.799999999999</c:v>
                </c:pt>
                <c:pt idx="7">
                  <c:v>3563.8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ru-RU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Лист12!$A$4</c:f>
              <c:strCache>
                <c:ptCount val="1"/>
                <c:pt idx="0">
                  <c:v>Налоговая нагрузка по методике Минфина России</c:v>
                </c:pt>
              </c:strCache>
            </c:strRef>
          </c:tx>
          <c:cat>
            <c:strRef>
              <c:f>Лист12!$B$1:$D$2</c:f>
              <c:strCache>
                <c:ptCount val="3"/>
                <c:pt idx="0">
                  <c:v>2013 г.</c:v>
                </c:pt>
                <c:pt idx="1">
                  <c:v>2014 г.</c:v>
                </c:pt>
                <c:pt idx="2">
                  <c:v>2015 г.</c:v>
                </c:pt>
              </c:strCache>
            </c:strRef>
          </c:cat>
          <c:val>
            <c:numRef>
              <c:f>Лист12!$B$4:$D$4</c:f>
              <c:numCache>
                <c:formatCode>0.00</c:formatCode>
                <c:ptCount val="3"/>
                <c:pt idx="0">
                  <c:v>7.8414204775280423</c:v>
                </c:pt>
                <c:pt idx="1">
                  <c:v>8.3229154445276752</c:v>
                </c:pt>
                <c:pt idx="2">
                  <c:v>7.4187329845573746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Лист12!$A$5</c:f>
              <c:strCache>
                <c:ptCount val="1"/>
                <c:pt idx="0">
                  <c:v>Налоговая нагрузка по методике  Е.А. Кировой</c:v>
                </c:pt>
              </c:strCache>
            </c:strRef>
          </c:tx>
          <c:cat>
            <c:strRef>
              <c:f>Лист12!$B$1:$D$2</c:f>
              <c:strCache>
                <c:ptCount val="3"/>
                <c:pt idx="0">
                  <c:v>2013 г.</c:v>
                </c:pt>
                <c:pt idx="1">
                  <c:v>2014 г.</c:v>
                </c:pt>
                <c:pt idx="2">
                  <c:v>2015 г.</c:v>
                </c:pt>
              </c:strCache>
            </c:strRef>
          </c:cat>
          <c:val>
            <c:numRef>
              <c:f>Лист12!$B$5:$D$5</c:f>
              <c:numCache>
                <c:formatCode>0.00</c:formatCode>
                <c:ptCount val="3"/>
                <c:pt idx="0">
                  <c:v>26.567087381038434</c:v>
                </c:pt>
                <c:pt idx="1">
                  <c:v>26.755390857596119</c:v>
                </c:pt>
                <c:pt idx="2">
                  <c:v>36.842458491266711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Лист12!$A$6</c:f>
              <c:strCache>
                <c:ptCount val="1"/>
                <c:pt idx="0">
                  <c:v>Налоговая нагрузка по методике  М.И. Литвина</c:v>
                </c:pt>
              </c:strCache>
            </c:strRef>
          </c:tx>
          <c:cat>
            <c:strRef>
              <c:f>Лист12!$B$1:$D$2</c:f>
              <c:strCache>
                <c:ptCount val="3"/>
                <c:pt idx="0">
                  <c:v>2013 г.</c:v>
                </c:pt>
                <c:pt idx="1">
                  <c:v>2014 г.</c:v>
                </c:pt>
                <c:pt idx="2">
                  <c:v>2015 г.</c:v>
                </c:pt>
              </c:strCache>
            </c:strRef>
          </c:cat>
          <c:val>
            <c:numRef>
              <c:f>Лист12!$B$6:$D$6</c:f>
              <c:numCache>
                <c:formatCode>0.00</c:formatCode>
                <c:ptCount val="3"/>
                <c:pt idx="0">
                  <c:v>59.870655803224018</c:v>
                </c:pt>
                <c:pt idx="1">
                  <c:v>69.713503753826473</c:v>
                </c:pt>
                <c:pt idx="2">
                  <c:v>153.57454111467044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915520"/>
        <c:axId val="173921408"/>
      </c:lineChart>
      <c:catAx>
        <c:axId val="173915520"/>
        <c:scaling>
          <c:orientation val="minMax"/>
        </c:scaling>
        <c:delete val="0"/>
        <c:axPos val="b"/>
        <c:majorTickMark val="out"/>
        <c:minorTickMark val="none"/>
        <c:tickLblPos val="nextTo"/>
        <c:crossAx val="173921408"/>
        <c:crosses val="autoZero"/>
        <c:auto val="1"/>
        <c:lblAlgn val="ctr"/>
        <c:lblOffset val="100"/>
        <c:noMultiLvlLbl val="0"/>
      </c:catAx>
      <c:valAx>
        <c:axId val="17392140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73915520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txPr>
    <a:bodyPr/>
    <a:lstStyle/>
    <a:p>
      <a:pPr>
        <a:defRPr sz="1200"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Лист14!$A$3</c:f>
              <c:strCache>
                <c:ptCount val="1"/>
                <c:pt idx="0">
                  <c:v>Общая сумма всех уплаченных налогов, тыс. руб.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dLbls>
            <c:dLbl>
              <c:idx val="0"/>
              <c:layout>
                <c:manualLayout>
                  <c:x val="3.0555555555555555E-2"/>
                  <c:y val="-3.70370370370370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Лист14!$B$1:$C$2</c:f>
              <c:strCache>
                <c:ptCount val="2"/>
                <c:pt idx="0">
                  <c:v>Факт (2015 г.)</c:v>
                </c:pt>
                <c:pt idx="1">
                  <c:v>План</c:v>
                </c:pt>
              </c:strCache>
            </c:strRef>
          </c:cat>
          <c:val>
            <c:numRef>
              <c:f>Лист14!$B$3:$C$3</c:f>
              <c:numCache>
                <c:formatCode>General</c:formatCode>
                <c:ptCount val="2"/>
                <c:pt idx="0">
                  <c:v>129383</c:v>
                </c:pt>
                <c:pt idx="1">
                  <c:v>128718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73990656"/>
        <c:axId val="173993344"/>
        <c:axId val="0"/>
      </c:bar3DChart>
      <c:catAx>
        <c:axId val="173990656"/>
        <c:scaling>
          <c:orientation val="minMax"/>
        </c:scaling>
        <c:delete val="0"/>
        <c:axPos val="b"/>
        <c:majorTickMark val="out"/>
        <c:minorTickMark val="none"/>
        <c:tickLblPos val="nextTo"/>
        <c:crossAx val="173993344"/>
        <c:crosses val="autoZero"/>
        <c:auto val="1"/>
        <c:lblAlgn val="ctr"/>
        <c:lblOffset val="100"/>
        <c:noMultiLvlLbl val="0"/>
      </c:catAx>
      <c:valAx>
        <c:axId val="173993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39906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Лист14!$A$4</c:f>
              <c:strCache>
                <c:ptCount val="1"/>
                <c:pt idx="0">
                  <c:v>Доля налогов в выручке от продаж, %</c:v>
                </c:pt>
              </c:strCache>
            </c:strRef>
          </c:tx>
          <c:cat>
            <c:strRef>
              <c:f>Лист14!$B$1:$C$2</c:f>
              <c:strCache>
                <c:ptCount val="2"/>
                <c:pt idx="0">
                  <c:v>Факт (2015 г.)</c:v>
                </c:pt>
                <c:pt idx="1">
                  <c:v>План</c:v>
                </c:pt>
              </c:strCache>
            </c:strRef>
          </c:cat>
          <c:val>
            <c:numRef>
              <c:f>Лист14!$B$4:$C$4</c:f>
              <c:numCache>
                <c:formatCode>0.00</c:formatCode>
                <c:ptCount val="2"/>
                <c:pt idx="0">
                  <c:v>7.418715085515859</c:v>
                </c:pt>
                <c:pt idx="1">
                  <c:v>6.7096384891527556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Лист14!$A$5</c:f>
              <c:strCache>
                <c:ptCount val="1"/>
                <c:pt idx="0">
                  <c:v>Доля налогов во вновь созданной стоимости, %</c:v>
                </c:pt>
              </c:strCache>
            </c:strRef>
          </c:tx>
          <c:cat>
            <c:strRef>
              <c:f>Лист14!$B$1:$C$2</c:f>
              <c:strCache>
                <c:ptCount val="2"/>
                <c:pt idx="0">
                  <c:v>Факт (2015 г.)</c:v>
                </c:pt>
                <c:pt idx="1">
                  <c:v>План</c:v>
                </c:pt>
              </c:strCache>
            </c:strRef>
          </c:cat>
          <c:val>
            <c:numRef>
              <c:f>Лист14!$B$5:$C$5</c:f>
              <c:numCache>
                <c:formatCode>0.00</c:formatCode>
                <c:ptCount val="2"/>
                <c:pt idx="0">
                  <c:v>36.842458491266711</c:v>
                </c:pt>
                <c:pt idx="1">
                  <c:v>17.917970972630886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Лист14!$A$6</c:f>
              <c:strCache>
                <c:ptCount val="1"/>
                <c:pt idx="0">
                  <c:v>Доля налогов в чистой прибыли, %</c:v>
                </c:pt>
              </c:strCache>
            </c:strRef>
          </c:tx>
          <c:cat>
            <c:strRef>
              <c:f>Лист14!$B$1:$C$2</c:f>
              <c:strCache>
                <c:ptCount val="2"/>
                <c:pt idx="0">
                  <c:v>Факт (2015 г.)</c:v>
                </c:pt>
                <c:pt idx="1">
                  <c:v>План</c:v>
                </c:pt>
              </c:strCache>
            </c:strRef>
          </c:cat>
          <c:val>
            <c:numRef>
              <c:f>Лист14!$B$6:$C$6</c:f>
              <c:numCache>
                <c:formatCode>0.00</c:formatCode>
                <c:ptCount val="2"/>
                <c:pt idx="0" formatCode="General">
                  <c:v>153.57</c:v>
                </c:pt>
                <c:pt idx="1">
                  <c:v>48.749810396573636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031232"/>
        <c:axId val="174032768"/>
      </c:lineChart>
      <c:catAx>
        <c:axId val="174031232"/>
        <c:scaling>
          <c:orientation val="minMax"/>
        </c:scaling>
        <c:delete val="0"/>
        <c:axPos val="b"/>
        <c:majorTickMark val="out"/>
        <c:minorTickMark val="none"/>
        <c:tickLblPos val="nextTo"/>
        <c:crossAx val="174032768"/>
        <c:crosses val="autoZero"/>
        <c:auto val="1"/>
        <c:lblAlgn val="ctr"/>
        <c:lblOffset val="100"/>
        <c:noMultiLvlLbl val="0"/>
      </c:catAx>
      <c:valAx>
        <c:axId val="17403276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74031232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/>
            </a:pPr>
            <a:r>
              <a:rPr lang="ru-RU" sz="1100"/>
              <a:t>Показатели</a:t>
            </a:r>
            <a:r>
              <a:rPr lang="ru-RU" sz="1100" baseline="0"/>
              <a:t> налоговой нагрузки</a:t>
            </a:r>
          </a:p>
        </c:rich>
      </c:tx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'Лист14 (2)'!$A$4</c:f>
              <c:strCache>
                <c:ptCount val="1"/>
                <c:pt idx="0">
                  <c:v>Доля налогов в выручке от продаж, %</c:v>
                </c:pt>
              </c:strCache>
            </c:strRef>
          </c:tx>
          <c:cat>
            <c:strRef>
              <c:f>'Лист14 (2)'!#REF!</c:f>
            </c:strRef>
          </c:cat>
          <c:val>
            <c:numRef>
              <c:f>'Лист14 (2)'!$B$4:$C$4</c:f>
              <c:numCache>
                <c:formatCode>0.00</c:formatCode>
                <c:ptCount val="2"/>
                <c:pt idx="0">
                  <c:v>7.418715085515859</c:v>
                </c:pt>
                <c:pt idx="1">
                  <c:v>10.411802529226893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'Лист14 (2)'!$A$5</c:f>
              <c:strCache>
                <c:ptCount val="1"/>
                <c:pt idx="0">
                  <c:v>Доля налогов во вновь созданной стоимости, %</c:v>
                </c:pt>
              </c:strCache>
            </c:strRef>
          </c:tx>
          <c:cat>
            <c:strRef>
              <c:f>'Лист14 (2)'!#REF!</c:f>
            </c:strRef>
          </c:cat>
          <c:val>
            <c:numRef>
              <c:f>'Лист14 (2)'!$B$5:$C$5</c:f>
              <c:numCache>
                <c:formatCode>0.00</c:formatCode>
                <c:ptCount val="2"/>
                <c:pt idx="0">
                  <c:v>36.842458491266711</c:v>
                </c:pt>
                <c:pt idx="1">
                  <c:v>27.804534594979284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'Лист14 (2)'!$A$6</c:f>
              <c:strCache>
                <c:ptCount val="1"/>
                <c:pt idx="0">
                  <c:v>Доля налогов в чистой прибыли, %</c:v>
                </c:pt>
              </c:strCache>
            </c:strRef>
          </c:tx>
          <c:cat>
            <c:strRef>
              <c:f>'Лист14 (2)'!#REF!</c:f>
            </c:strRef>
          </c:cat>
          <c:val>
            <c:numRef>
              <c:f>'Лист14 (2)'!$B$6:$C$6</c:f>
              <c:numCache>
                <c:formatCode>0.00</c:formatCode>
                <c:ptCount val="2"/>
                <c:pt idx="0" formatCode="General">
                  <c:v>153.57</c:v>
                </c:pt>
                <c:pt idx="1">
                  <c:v>103.48417958661116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308800"/>
        <c:axId val="177310336"/>
      </c:lineChart>
      <c:catAx>
        <c:axId val="177308800"/>
        <c:scaling>
          <c:orientation val="minMax"/>
        </c:scaling>
        <c:delete val="0"/>
        <c:axPos val="b"/>
        <c:majorTickMark val="out"/>
        <c:minorTickMark val="none"/>
        <c:tickLblPos val="nextTo"/>
        <c:crossAx val="177310336"/>
        <c:crosses val="autoZero"/>
        <c:auto val="1"/>
        <c:lblAlgn val="ctr"/>
        <c:lblOffset val="100"/>
        <c:noMultiLvlLbl val="0"/>
      </c:catAx>
      <c:valAx>
        <c:axId val="1773103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77308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15125489181867"/>
          <c:y val="0.20660578885972586"/>
          <c:w val="0.35138006228885355"/>
          <c:h val="0.5867880577427822"/>
        </c:manualLayout>
      </c:layout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/>
            </a:pPr>
            <a:r>
              <a:rPr lang="ru-RU" sz="1100" b="1" i="0"/>
              <a:t>Изменение</a:t>
            </a:r>
            <a:r>
              <a:rPr lang="ru-RU" sz="1100" b="1" i="0" baseline="0"/>
              <a:t> величины налоговых платежей, тыс.руб.</a:t>
            </a:r>
            <a:endParaRPr lang="ru-RU" sz="1100" b="1" i="0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dLbls>
            <c:dLbl>
              <c:idx val="0"/>
              <c:layout>
                <c:manualLayout>
                  <c:x val="3.6111111111111108E-2"/>
                  <c:y val="-6.01851851851851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4.1666666666666664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'Лист14 (2)'!$B$2:$C$2</c:f>
              <c:strCache>
                <c:ptCount val="2"/>
                <c:pt idx="0">
                  <c:v>Факт (2015 г.)</c:v>
                </c:pt>
                <c:pt idx="1">
                  <c:v>План</c:v>
                </c:pt>
              </c:strCache>
            </c:strRef>
          </c:cat>
          <c:val>
            <c:numRef>
              <c:f>'Лист14 (2)'!$B$3:$C$3</c:f>
              <c:numCache>
                <c:formatCode>0</c:formatCode>
                <c:ptCount val="2"/>
                <c:pt idx="0">
                  <c:v>129383</c:v>
                </c:pt>
                <c:pt idx="1">
                  <c:v>199740.47784000004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77330048"/>
        <c:axId val="177337088"/>
        <c:axId val="0"/>
      </c:bar3DChart>
      <c:catAx>
        <c:axId val="177330048"/>
        <c:scaling>
          <c:orientation val="minMax"/>
        </c:scaling>
        <c:delete val="0"/>
        <c:axPos val="b"/>
        <c:majorGridlines/>
        <c:majorTickMark val="none"/>
        <c:minorTickMark val="none"/>
        <c:tickLblPos val="nextTo"/>
        <c:txPr>
          <a:bodyPr/>
          <a:lstStyle/>
          <a:p>
            <a:pPr>
              <a:defRPr sz="1200"/>
            </a:pPr>
            <a:endParaRPr lang="ru-RU"/>
          </a:p>
        </c:txPr>
        <c:crossAx val="177337088"/>
        <c:crosses val="autoZero"/>
        <c:auto val="1"/>
        <c:lblAlgn val="ctr"/>
        <c:lblOffset val="100"/>
        <c:noMultiLvlLbl val="0"/>
      </c:catAx>
      <c:valAx>
        <c:axId val="177337088"/>
        <c:scaling>
          <c:orientation val="minMax"/>
        </c:scaling>
        <c:delete val="1"/>
        <c:axPos val="l"/>
        <c:majorGridlines/>
        <c:numFmt formatCode="0" sourceLinked="1"/>
        <c:majorTickMark val="out"/>
        <c:minorTickMark val="none"/>
        <c:tickLblPos val="nextTo"/>
        <c:crossAx val="1773300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7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1996500437445322E-2"/>
          <c:y val="1.6203703703703703E-2"/>
          <c:w val="0.81017497812773398"/>
          <c:h val="0.91666666666666663"/>
        </c:manualLayout>
      </c:layout>
      <c:pie3DChart>
        <c:varyColors val="1"/>
        <c:ser>
          <c:idx val="0"/>
          <c:order val="0"/>
          <c:dLbls>
            <c:txPr>
              <a:bodyPr/>
              <a:lstStyle/>
              <a:p>
                <a:pPr>
                  <a:defRPr sz="1200" b="1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Лист17!$A$3:$A$6</c:f>
              <c:strCache>
                <c:ptCount val="4"/>
                <c:pt idx="0">
                  <c:v>Класс 2</c:v>
                </c:pt>
                <c:pt idx="1">
                  <c:v>Класс 3</c:v>
                </c:pt>
                <c:pt idx="2">
                  <c:v>Класс 4</c:v>
                </c:pt>
                <c:pt idx="3">
                  <c:v>Класс 5</c:v>
                </c:pt>
              </c:strCache>
            </c:strRef>
          </c:cat>
          <c:val>
            <c:numRef>
              <c:f>Лист17!$B$3:$B$6</c:f>
              <c:numCache>
                <c:formatCode>General</c:formatCode>
                <c:ptCount val="4"/>
                <c:pt idx="0">
                  <c:v>211</c:v>
                </c:pt>
                <c:pt idx="1">
                  <c:v>199</c:v>
                </c:pt>
                <c:pt idx="2">
                  <c:v>158</c:v>
                </c:pt>
                <c:pt idx="3">
                  <c:v>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200"/>
          </a:pPr>
          <a:endParaRPr lang="ru-RU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1438275</xdr:colOff>
      <xdr:row>5</xdr:row>
      <xdr:rowOff>190500</xdr:rowOff>
    </xdr:from>
    <xdr:to>
      <xdr:col>8</xdr:col>
      <xdr:colOff>114300</xdr:colOff>
      <xdr:row>20</xdr:row>
      <xdr:rowOff>66675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142875</xdr:colOff>
      <xdr:row>5</xdr:row>
      <xdr:rowOff>180975</xdr:rowOff>
    </xdr:from>
    <xdr:to>
      <xdr:col>15</xdr:col>
      <xdr:colOff>447675</xdr:colOff>
      <xdr:row>20</xdr:row>
      <xdr:rowOff>57150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404812</xdr:colOff>
      <xdr:row>7</xdr:row>
      <xdr:rowOff>85725</xdr:rowOff>
    </xdr:from>
    <xdr:to>
      <xdr:col>15</xdr:col>
      <xdr:colOff>100012</xdr:colOff>
      <xdr:row>18</xdr:row>
      <xdr:rowOff>38100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228600</xdr:colOff>
      <xdr:row>28</xdr:row>
      <xdr:rowOff>190499</xdr:rowOff>
    </xdr:from>
    <xdr:to>
      <xdr:col>12</xdr:col>
      <xdr:colOff>190500</xdr:colOff>
      <xdr:row>46</xdr:row>
      <xdr:rowOff>9524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12</xdr:row>
      <xdr:rowOff>104775</xdr:rowOff>
    </xdr:from>
    <xdr:to>
      <xdr:col>8</xdr:col>
      <xdr:colOff>409575</xdr:colOff>
      <xdr:row>26</xdr:row>
      <xdr:rowOff>180975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1033097</xdr:colOff>
      <xdr:row>11</xdr:row>
      <xdr:rowOff>93784</xdr:rowOff>
    </xdr:from>
    <xdr:to>
      <xdr:col>5</xdr:col>
      <xdr:colOff>542193</xdr:colOff>
      <xdr:row>25</xdr:row>
      <xdr:rowOff>169984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109536</xdr:colOff>
      <xdr:row>7</xdr:row>
      <xdr:rowOff>66675</xdr:rowOff>
    </xdr:from>
    <xdr:to>
      <xdr:col>10</xdr:col>
      <xdr:colOff>380999</xdr:colOff>
      <xdr:row>21</xdr:row>
      <xdr:rowOff>142875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157162</xdr:colOff>
      <xdr:row>7</xdr:row>
      <xdr:rowOff>171450</xdr:rowOff>
    </xdr:from>
    <xdr:to>
      <xdr:col>7</xdr:col>
      <xdr:colOff>395287</xdr:colOff>
      <xdr:row>22</xdr:row>
      <xdr:rowOff>57150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157162</xdr:colOff>
      <xdr:row>7</xdr:row>
      <xdr:rowOff>171450</xdr:rowOff>
    </xdr:from>
    <xdr:to>
      <xdr:col>7</xdr:col>
      <xdr:colOff>395287</xdr:colOff>
      <xdr:row>22</xdr:row>
      <xdr:rowOff>57150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281402</xdr:colOff>
      <xdr:row>7</xdr:row>
      <xdr:rowOff>33131</xdr:rowOff>
    </xdr:from>
    <xdr:to>
      <xdr:col>4</xdr:col>
      <xdr:colOff>256761</xdr:colOff>
      <xdr:row>19</xdr:row>
      <xdr:rowOff>182218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8281</xdr:colOff>
      <xdr:row>1</xdr:row>
      <xdr:rowOff>49696</xdr:rowOff>
    </xdr:from>
    <xdr:to>
      <xdr:col>7</xdr:col>
      <xdr:colOff>2273575</xdr:colOff>
      <xdr:row>11</xdr:row>
      <xdr:rowOff>74544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</xdr:colOff>
      <xdr:row>0</xdr:row>
      <xdr:rowOff>80962</xdr:rowOff>
    </xdr:from>
    <xdr:to>
      <xdr:col>10</xdr:col>
      <xdr:colOff>376237</xdr:colOff>
      <xdr:row>9</xdr:row>
      <xdr:rowOff>71437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D2" sqref="D2:D5"/>
    </sheetView>
  </sheetViews>
  <sheetFormatPr defaultRowHeight="15" x14ac:dyDescent="0.25"/>
  <cols>
    <col min="1" max="1" width="24.42578125" customWidth="1"/>
  </cols>
  <sheetData>
    <row r="1" spans="1:6" ht="47.2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6" ht="15.75" x14ac:dyDescent="0.25">
      <c r="A2" s="1" t="s">
        <v>4</v>
      </c>
      <c r="B2" s="1">
        <v>75</v>
      </c>
      <c r="C2" s="1">
        <v>54</v>
      </c>
      <c r="D2" s="1">
        <v>35</v>
      </c>
      <c r="E2">
        <f>D2-B2</f>
        <v>-40</v>
      </c>
      <c r="F2" s="4">
        <f>E2/B2*100</f>
        <v>-53.333333333333336</v>
      </c>
    </row>
    <row r="3" spans="1:6" ht="15.75" x14ac:dyDescent="0.25">
      <c r="A3" s="1" t="s">
        <v>5</v>
      </c>
      <c r="B3" s="1">
        <v>279</v>
      </c>
      <c r="C3" s="1">
        <v>155</v>
      </c>
      <c r="D3" s="1">
        <v>142</v>
      </c>
      <c r="E3">
        <f t="shared" ref="E3:E6" si="0">D3-B3</f>
        <v>-137</v>
      </c>
      <c r="F3" s="4">
        <f t="shared" ref="F3:F6" si="1">E3/B3*100</f>
        <v>-49.103942652329749</v>
      </c>
    </row>
    <row r="4" spans="1:6" ht="15.75" x14ac:dyDescent="0.25">
      <c r="A4" s="1" t="s">
        <v>6</v>
      </c>
      <c r="B4" s="1">
        <v>229</v>
      </c>
      <c r="C4" s="1">
        <v>276</v>
      </c>
      <c r="D4" s="1">
        <v>213</v>
      </c>
      <c r="E4">
        <f t="shared" si="0"/>
        <v>-16</v>
      </c>
      <c r="F4" s="4">
        <f t="shared" si="1"/>
        <v>-6.9868995633187767</v>
      </c>
    </row>
    <row r="5" spans="1:6" ht="15.75" x14ac:dyDescent="0.25">
      <c r="A5" s="1" t="s">
        <v>7</v>
      </c>
      <c r="B5" s="1">
        <v>131</v>
      </c>
      <c r="C5" s="1">
        <v>169</v>
      </c>
      <c r="D5" s="1">
        <v>200</v>
      </c>
      <c r="E5">
        <f t="shared" si="0"/>
        <v>69</v>
      </c>
      <c r="F5" s="4">
        <f t="shared" si="1"/>
        <v>52.671755725190842</v>
      </c>
    </row>
    <row r="6" spans="1:6" ht="15.75" x14ac:dyDescent="0.25">
      <c r="A6" s="1" t="s">
        <v>8</v>
      </c>
      <c r="B6" s="1">
        <v>714</v>
      </c>
      <c r="C6" s="1">
        <v>654</v>
      </c>
      <c r="D6" s="1">
        <v>590</v>
      </c>
      <c r="E6">
        <f t="shared" si="0"/>
        <v>-124</v>
      </c>
      <c r="F6" s="4">
        <f t="shared" si="1"/>
        <v>-17.366946778711483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F6" sqref="F6"/>
    </sheetView>
  </sheetViews>
  <sheetFormatPr defaultRowHeight="15" x14ac:dyDescent="0.25"/>
  <cols>
    <col min="1" max="1" width="28.85546875" customWidth="1"/>
  </cols>
  <sheetData>
    <row r="1" spans="1:6" ht="15.75" x14ac:dyDescent="0.25">
      <c r="A1" s="6" t="s">
        <v>9</v>
      </c>
      <c r="B1" s="6" t="s">
        <v>1</v>
      </c>
      <c r="C1" s="6" t="s">
        <v>2</v>
      </c>
      <c r="D1" s="6" t="s">
        <v>3</v>
      </c>
    </row>
    <row r="2" spans="1:6" ht="15.75" x14ac:dyDescent="0.25">
      <c r="A2" s="5" t="s">
        <v>14</v>
      </c>
      <c r="B2" s="1">
        <v>36</v>
      </c>
      <c r="C2" s="1">
        <v>33</v>
      </c>
      <c r="D2" s="1">
        <v>27</v>
      </c>
      <c r="E2">
        <f>D2-B2</f>
        <v>-9</v>
      </c>
      <c r="F2" s="4">
        <f>E2/B2*100</f>
        <v>-25</v>
      </c>
    </row>
    <row r="3" spans="1:6" ht="15.75" x14ac:dyDescent="0.25">
      <c r="A3" s="5" t="s">
        <v>10</v>
      </c>
      <c r="B3" s="1">
        <v>760</v>
      </c>
      <c r="C3" s="1">
        <v>710</v>
      </c>
      <c r="D3" s="1">
        <v>570</v>
      </c>
      <c r="E3">
        <f t="shared" ref="E3:E6" si="0">D3-B3</f>
        <v>-190</v>
      </c>
      <c r="F3" s="4">
        <f t="shared" ref="F3:F6" si="1">E3/B3*100</f>
        <v>-25</v>
      </c>
    </row>
    <row r="4" spans="1:6" ht="31.5" x14ac:dyDescent="0.25">
      <c r="A4" s="5" t="s">
        <v>11</v>
      </c>
      <c r="B4" s="1">
        <v>42</v>
      </c>
      <c r="C4" s="1">
        <v>40</v>
      </c>
      <c r="D4" s="1">
        <v>32</v>
      </c>
      <c r="E4">
        <f t="shared" si="0"/>
        <v>-10</v>
      </c>
      <c r="F4" s="4">
        <f t="shared" si="1"/>
        <v>-23.809523809523807</v>
      </c>
    </row>
    <row r="5" spans="1:6" ht="15.75" x14ac:dyDescent="0.25">
      <c r="A5" s="5" t="s">
        <v>12</v>
      </c>
      <c r="B5" s="1">
        <v>16</v>
      </c>
      <c r="C5" s="1">
        <v>15</v>
      </c>
      <c r="D5" s="1">
        <v>15</v>
      </c>
      <c r="E5">
        <f t="shared" si="0"/>
        <v>-1</v>
      </c>
      <c r="F5" s="4">
        <f t="shared" si="1"/>
        <v>-6.25</v>
      </c>
    </row>
    <row r="6" spans="1:6" ht="15.75" x14ac:dyDescent="0.25">
      <c r="A6" s="5" t="s">
        <v>13</v>
      </c>
      <c r="B6" s="1">
        <f>SUM(B2:B5)</f>
        <v>854</v>
      </c>
      <c r="C6" s="1">
        <f t="shared" ref="C6:D6" si="2">SUM(C2:C5)</f>
        <v>798</v>
      </c>
      <c r="D6" s="1">
        <f t="shared" si="2"/>
        <v>644</v>
      </c>
      <c r="E6">
        <f t="shared" si="0"/>
        <v>-210</v>
      </c>
      <c r="F6" s="4">
        <f t="shared" si="1"/>
        <v>-24.590163934426229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B3" sqref="B3"/>
    </sheetView>
  </sheetViews>
  <sheetFormatPr defaultRowHeight="15" x14ac:dyDescent="0.25"/>
  <cols>
    <col min="1" max="1" width="25.28515625" customWidth="1"/>
    <col min="2" max="2" width="10.85546875" bestFit="1" customWidth="1"/>
    <col min="3" max="4" width="10.7109375" bestFit="1" customWidth="1"/>
  </cols>
  <sheetData>
    <row r="1" spans="1:6" ht="15.75" x14ac:dyDescent="0.25">
      <c r="A1" s="1" t="s">
        <v>9</v>
      </c>
      <c r="B1" s="1" t="s">
        <v>1</v>
      </c>
      <c r="C1" s="1" t="s">
        <v>2</v>
      </c>
      <c r="D1" s="1" t="s">
        <v>3</v>
      </c>
    </row>
    <row r="2" spans="1:6" ht="31.5" x14ac:dyDescent="0.25">
      <c r="A2" s="5" t="s">
        <v>15</v>
      </c>
      <c r="B2" s="1">
        <v>23010</v>
      </c>
      <c r="C2" s="1">
        <v>23570</v>
      </c>
      <c r="D2" s="1">
        <v>24170</v>
      </c>
      <c r="E2">
        <f>D2-B2</f>
        <v>1160</v>
      </c>
      <c r="F2" s="3">
        <f>E2/B2*100</f>
        <v>5.0412863972186006</v>
      </c>
    </row>
    <row r="3" spans="1:6" ht="31.5" x14ac:dyDescent="0.25">
      <c r="A3" s="5" t="s">
        <v>16</v>
      </c>
      <c r="B3" s="8">
        <f>B2*Лист2!B6*12/1000</f>
        <v>235806.48</v>
      </c>
      <c r="C3" s="8">
        <f>C2*Лист2!C6*12/1000</f>
        <v>225706.32</v>
      </c>
      <c r="D3" s="8">
        <f>D2*Лист2!D6*12/1000</f>
        <v>186785.76</v>
      </c>
      <c r="E3">
        <f>D3-B3</f>
        <v>-49020.72</v>
      </c>
      <c r="F3" s="3">
        <f>E3/B3*100</f>
        <v>-20.788538126687612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zoomScale="115" zoomScaleNormal="115" workbookViewId="0">
      <selection activeCell="B25" sqref="B25"/>
    </sheetView>
  </sheetViews>
  <sheetFormatPr defaultRowHeight="15" x14ac:dyDescent="0.25"/>
  <cols>
    <col min="1" max="1" width="34.140625" customWidth="1"/>
    <col min="3" max="3" width="13.7109375" bestFit="1" customWidth="1"/>
    <col min="4" max="4" width="14.7109375" customWidth="1"/>
    <col min="5" max="5" width="15" customWidth="1"/>
  </cols>
  <sheetData>
    <row r="1" spans="1:7" ht="15.75" x14ac:dyDescent="0.25">
      <c r="A1" s="1" t="s">
        <v>17</v>
      </c>
      <c r="B1" s="1" t="s">
        <v>18</v>
      </c>
      <c r="C1" s="1" t="s">
        <v>1</v>
      </c>
      <c r="D1" s="1" t="s">
        <v>2</v>
      </c>
      <c r="E1" s="1" t="s">
        <v>3</v>
      </c>
    </row>
    <row r="2" spans="1:7" ht="15.75" x14ac:dyDescent="0.25">
      <c r="A2" s="5" t="s">
        <v>19</v>
      </c>
      <c r="B2" s="1" t="s">
        <v>20</v>
      </c>
      <c r="C2" s="1">
        <v>714</v>
      </c>
      <c r="D2" s="1">
        <v>654</v>
      </c>
      <c r="E2" s="1">
        <v>590</v>
      </c>
      <c r="F2">
        <f>E2-C2</f>
        <v>-124</v>
      </c>
      <c r="G2" s="4">
        <f>F2/C2*100</f>
        <v>-17.366946778711483</v>
      </c>
    </row>
    <row r="3" spans="1:7" ht="15.75" x14ac:dyDescent="0.25">
      <c r="A3" s="5" t="s">
        <v>21</v>
      </c>
      <c r="B3" s="1" t="s">
        <v>20</v>
      </c>
      <c r="C3" s="1">
        <f>C2*365</f>
        <v>260610</v>
      </c>
      <c r="D3" s="1">
        <f t="shared" ref="D3:E3" si="0">D2*365</f>
        <v>238710</v>
      </c>
      <c r="E3" s="1">
        <f t="shared" si="0"/>
        <v>215350</v>
      </c>
      <c r="F3">
        <f t="shared" ref="F3:F11" si="1">E3-C3</f>
        <v>-45260</v>
      </c>
      <c r="G3" s="4">
        <f t="shared" ref="G3:G11" si="2">F3/C3*100</f>
        <v>-17.366946778711483</v>
      </c>
    </row>
    <row r="4" spans="1:7" ht="15.75" x14ac:dyDescent="0.25">
      <c r="A4" s="5" t="s">
        <v>22</v>
      </c>
      <c r="B4" s="1" t="s">
        <v>20</v>
      </c>
      <c r="C4" s="11">
        <f>C2*365*C10</f>
        <v>169917.72</v>
      </c>
      <c r="D4" s="11">
        <f t="shared" ref="D4:E4" si="3">D2*365*D10</f>
        <v>139167.93</v>
      </c>
      <c r="E4" s="11">
        <f t="shared" si="3"/>
        <v>129425.34999999999</v>
      </c>
      <c r="F4">
        <f t="shared" si="1"/>
        <v>-40492.37000000001</v>
      </c>
      <c r="G4" s="4">
        <f t="shared" si="2"/>
        <v>-23.830575174855223</v>
      </c>
    </row>
    <row r="5" spans="1:7" ht="15.75" x14ac:dyDescent="0.25">
      <c r="A5" s="5" t="s">
        <v>23</v>
      </c>
      <c r="B5" s="1" t="s">
        <v>20</v>
      </c>
      <c r="C5" s="10">
        <f>C3-C4</f>
        <v>90692.28</v>
      </c>
      <c r="D5" s="10">
        <f t="shared" ref="D5:E5" si="4">D3-D4</f>
        <v>99542.07</v>
      </c>
      <c r="E5" s="10">
        <f t="shared" si="4"/>
        <v>85924.650000000009</v>
      </c>
      <c r="F5">
        <f t="shared" si="1"/>
        <v>-4767.6299999999901</v>
      </c>
      <c r="G5" s="4">
        <f t="shared" si="2"/>
        <v>-5.2569303583502256</v>
      </c>
    </row>
    <row r="6" spans="1:7" ht="15.75" x14ac:dyDescent="0.25">
      <c r="A6" s="5" t="s">
        <v>24</v>
      </c>
      <c r="B6" s="1" t="s">
        <v>20</v>
      </c>
      <c r="C6" s="10">
        <f>C2*C9</f>
        <v>503.36999999999995</v>
      </c>
      <c r="D6" s="10">
        <f t="shared" ref="D6:E6" si="5">D2*D9</f>
        <v>455.83799999999997</v>
      </c>
      <c r="E6" s="10">
        <f t="shared" si="5"/>
        <v>408.28</v>
      </c>
      <c r="F6">
        <f t="shared" si="1"/>
        <v>-95.089999999999975</v>
      </c>
      <c r="G6" s="4">
        <f t="shared" si="2"/>
        <v>-18.89067683811113</v>
      </c>
    </row>
    <row r="7" spans="1:7" ht="31.5" x14ac:dyDescent="0.25">
      <c r="A7" s="5" t="s">
        <v>36</v>
      </c>
      <c r="B7" s="1" t="s">
        <v>25</v>
      </c>
      <c r="C7" s="1">
        <v>29.36</v>
      </c>
      <c r="D7" s="1">
        <v>29.51</v>
      </c>
      <c r="E7" s="1">
        <v>29.66</v>
      </c>
      <c r="F7">
        <f t="shared" si="1"/>
        <v>0.30000000000000071</v>
      </c>
      <c r="G7" s="4">
        <f t="shared" si="2"/>
        <v>1.0217983651226181</v>
      </c>
    </row>
    <row r="8" spans="1:7" ht="15.75" x14ac:dyDescent="0.25">
      <c r="A8" s="13" t="s">
        <v>38</v>
      </c>
      <c r="B8" s="1" t="s">
        <v>37</v>
      </c>
      <c r="C8" s="1">
        <v>7.2</v>
      </c>
      <c r="D8" s="1">
        <v>7.3</v>
      </c>
      <c r="E8" s="1">
        <v>6.9</v>
      </c>
      <c r="F8">
        <f t="shared" si="1"/>
        <v>-0.29999999999999982</v>
      </c>
      <c r="G8" s="4">
        <f t="shared" si="2"/>
        <v>-4.1666666666666643</v>
      </c>
    </row>
    <row r="9" spans="1:7" ht="31.5" x14ac:dyDescent="0.25">
      <c r="A9" s="5" t="s">
        <v>26</v>
      </c>
      <c r="B9" s="9" t="s">
        <v>27</v>
      </c>
      <c r="C9" s="1">
        <v>0.70499999999999996</v>
      </c>
      <c r="D9" s="1">
        <v>0.69699999999999995</v>
      </c>
      <c r="E9" s="1">
        <v>0.69199999999999995</v>
      </c>
      <c r="F9">
        <f t="shared" si="1"/>
        <v>-1.3000000000000012E-2</v>
      </c>
      <c r="G9" s="4">
        <f t="shared" si="2"/>
        <v>-1.8439716312056753</v>
      </c>
    </row>
    <row r="10" spans="1:7" ht="31.5" x14ac:dyDescent="0.25">
      <c r="A10" s="5" t="s">
        <v>28</v>
      </c>
      <c r="B10" s="9" t="s">
        <v>27</v>
      </c>
      <c r="C10" s="1">
        <v>0.65200000000000002</v>
      </c>
      <c r="D10" s="1">
        <v>0.58299999999999996</v>
      </c>
      <c r="E10" s="1">
        <v>0.60099999999999998</v>
      </c>
      <c r="F10">
        <f t="shared" si="1"/>
        <v>-5.1000000000000045E-2</v>
      </c>
      <c r="G10" s="4">
        <f t="shared" si="2"/>
        <v>-7.8220858895705581</v>
      </c>
    </row>
    <row r="11" spans="1:7" ht="31.5" x14ac:dyDescent="0.25">
      <c r="A11" s="5" t="s">
        <v>29</v>
      </c>
      <c r="B11" s="9" t="s">
        <v>27</v>
      </c>
      <c r="C11" s="1">
        <v>0.874</v>
      </c>
      <c r="D11" s="1">
        <v>0.89300000000000002</v>
      </c>
      <c r="E11" s="1">
        <v>0.90400000000000003</v>
      </c>
      <c r="F11">
        <f t="shared" si="1"/>
        <v>3.0000000000000027E-2</v>
      </c>
      <c r="G11" s="4">
        <f t="shared" si="2"/>
        <v>3.4324942791762041</v>
      </c>
    </row>
    <row r="12" spans="1:7" ht="15.75" x14ac:dyDescent="0.25">
      <c r="A12" s="5" t="s">
        <v>30</v>
      </c>
      <c r="B12" s="1" t="s">
        <v>31</v>
      </c>
      <c r="C12" s="1">
        <v>21.2</v>
      </c>
      <c r="D12" s="1">
        <v>19.7</v>
      </c>
      <c r="E12" s="1">
        <v>18.899999999999999</v>
      </c>
      <c r="F12">
        <f t="shared" ref="F12:F14" si="6">E12-C12</f>
        <v>-2.3000000000000007</v>
      </c>
      <c r="G12" s="4">
        <f t="shared" ref="G12:G14" si="7">F12/C12*100</f>
        <v>-10.849056603773588</v>
      </c>
    </row>
    <row r="13" spans="1:7" ht="15.75" x14ac:dyDescent="0.25">
      <c r="A13" s="5" t="s">
        <v>32</v>
      </c>
      <c r="B13" s="1" t="s">
        <v>33</v>
      </c>
      <c r="C13" s="1">
        <v>186.9</v>
      </c>
      <c r="D13" s="1">
        <v>182.8</v>
      </c>
      <c r="E13" s="1">
        <v>188.2</v>
      </c>
      <c r="F13">
        <f t="shared" si="6"/>
        <v>1.2999999999999829</v>
      </c>
      <c r="G13" s="4">
        <f t="shared" si="7"/>
        <v>0.69555912252540553</v>
      </c>
    </row>
    <row r="14" spans="1:7" ht="15.75" x14ac:dyDescent="0.25">
      <c r="A14" s="5" t="s">
        <v>34</v>
      </c>
      <c r="B14" s="1" t="s">
        <v>35</v>
      </c>
      <c r="C14" s="10">
        <f>C6*C13*C4/1000</f>
        <v>15985834.119695159</v>
      </c>
      <c r="D14" s="10">
        <f t="shared" ref="D14:E14" si="8">D6*D13*D4/1000</f>
        <v>11596472.044012152</v>
      </c>
      <c r="E14" s="10">
        <f t="shared" si="8"/>
        <v>9944823.3532035984</v>
      </c>
      <c r="F14">
        <f t="shared" si="6"/>
        <v>-6041010.7664915603</v>
      </c>
      <c r="G14" s="4">
        <f t="shared" si="7"/>
        <v>-37.78977513002468</v>
      </c>
    </row>
    <row r="16" spans="1:7" x14ac:dyDescent="0.25">
      <c r="C16" s="12">
        <f>0.18*C4*6*8/1000</f>
        <v>1468.0891007999999</v>
      </c>
      <c r="D16" s="12">
        <f t="shared" ref="D16:E16" si="9">0.18*D4*6*8/1000</f>
        <v>1202.4109151999996</v>
      </c>
      <c r="E16" s="12">
        <f t="shared" si="9"/>
        <v>1118.2350240000001</v>
      </c>
    </row>
    <row r="17" spans="3:5" x14ac:dyDescent="0.25">
      <c r="C17" s="12">
        <f>C4*C7*8/1000</f>
        <v>39910.274073600005</v>
      </c>
      <c r="D17" s="12">
        <f t="shared" ref="D17:E17" si="10">D4*D7*8/1000</f>
        <v>32854.764914400002</v>
      </c>
      <c r="E17" s="12">
        <f t="shared" si="10"/>
        <v>30710.047047999997</v>
      </c>
    </row>
    <row r="18" spans="3:5" x14ac:dyDescent="0.25">
      <c r="C18" s="12">
        <f>C17*C13</f>
        <v>7459230.2243558411</v>
      </c>
      <c r="D18" s="12">
        <f t="shared" ref="D18:E18" si="11">D17*D13</f>
        <v>6005851.0263523208</v>
      </c>
      <c r="E18" s="12">
        <f t="shared" si="11"/>
        <v>5779630.8544335989</v>
      </c>
    </row>
    <row r="23" spans="3:5" x14ac:dyDescent="0.25">
      <c r="D23">
        <f>440/590</f>
        <v>0.74576271186440679</v>
      </c>
    </row>
    <row r="24" spans="3:5" x14ac:dyDescent="0.25">
      <c r="D24">
        <f>1-D23</f>
        <v>0.25423728813559321</v>
      </c>
    </row>
    <row r="26" spans="3:5" x14ac:dyDescent="0.25">
      <c r="E26" s="4">
        <f>1199664200/33/1000</f>
        <v>36353.460606060609</v>
      </c>
    </row>
    <row r="27" spans="3:5" x14ac:dyDescent="0.25">
      <c r="E27">
        <f>E26*D23</f>
        <v>27111.055367231642</v>
      </c>
    </row>
    <row r="28" spans="3:5" x14ac:dyDescent="0.25">
      <c r="E28">
        <f>E26*D24</f>
        <v>9242.4052388289674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activeCell="D5" sqref="D5"/>
    </sheetView>
  </sheetViews>
  <sheetFormatPr defaultRowHeight="15" x14ac:dyDescent="0.25"/>
  <cols>
    <col min="1" max="1" width="33.140625" customWidth="1"/>
    <col min="2" max="2" width="10.7109375" bestFit="1" customWidth="1"/>
  </cols>
  <sheetData>
    <row r="1" spans="1:11" ht="15.75" x14ac:dyDescent="0.25">
      <c r="A1" s="48" t="s">
        <v>9</v>
      </c>
      <c r="B1" s="48" t="s">
        <v>39</v>
      </c>
      <c r="C1" s="48"/>
      <c r="D1" s="48"/>
    </row>
    <row r="2" spans="1:11" ht="15.75" x14ac:dyDescent="0.25">
      <c r="A2" s="48"/>
      <c r="B2" s="14" t="s">
        <v>1</v>
      </c>
      <c r="C2" s="14" t="s">
        <v>2</v>
      </c>
      <c r="D2" s="14" t="s">
        <v>3</v>
      </c>
    </row>
    <row r="3" spans="1:11" ht="15.75" x14ac:dyDescent="0.25">
      <c r="A3" s="15" t="s">
        <v>59</v>
      </c>
      <c r="B3" s="14">
        <v>3545174</v>
      </c>
      <c r="C3" s="14">
        <v>2770075</v>
      </c>
      <c r="D3" s="14">
        <v>1744004</v>
      </c>
      <c r="E3">
        <f>D3-B3</f>
        <v>-1801170</v>
      </c>
      <c r="F3" s="4">
        <f>E3/B3*100</f>
        <v>-50.806250976679848</v>
      </c>
      <c r="G3">
        <f>B3*0.7</f>
        <v>2481621.7999999998</v>
      </c>
    </row>
    <row r="4" spans="1:11" ht="15.75" x14ac:dyDescent="0.25">
      <c r="A4" s="16" t="s">
        <v>40</v>
      </c>
      <c r="B4" s="14">
        <v>2481622</v>
      </c>
      <c r="C4" s="14">
        <v>1751084</v>
      </c>
      <c r="D4" s="14">
        <v>1411006</v>
      </c>
      <c r="E4">
        <f t="shared" ref="E4:E27" si="0">D4-B4</f>
        <v>-1070616</v>
      </c>
      <c r="F4" s="4">
        <f t="shared" ref="F4:F27" si="1">E4/B4*100</f>
        <v>-43.141783881670939</v>
      </c>
      <c r="I4" s="2">
        <f t="shared" ref="I4" si="2">B4/B3</f>
        <v>0.70000005641472041</v>
      </c>
      <c r="J4">
        <f>C4/C3</f>
        <v>0.63214317301878109</v>
      </c>
      <c r="K4">
        <f>D4/D3</f>
        <v>0.80906121774950057</v>
      </c>
    </row>
    <row r="5" spans="1:11" ht="15.75" x14ac:dyDescent="0.25">
      <c r="A5" s="17" t="s">
        <v>41</v>
      </c>
      <c r="B5" s="14">
        <f>B3-B4</f>
        <v>1063552</v>
      </c>
      <c r="C5" s="14">
        <f t="shared" ref="C5:D5" si="3">C3-C4</f>
        <v>1018991</v>
      </c>
      <c r="D5" s="14">
        <f t="shared" si="3"/>
        <v>332998</v>
      </c>
      <c r="E5">
        <f t="shared" si="0"/>
        <v>-730554</v>
      </c>
      <c r="F5" s="4">
        <f t="shared" si="1"/>
        <v>-68.690012336021184</v>
      </c>
      <c r="I5">
        <f t="shared" ref="I5:J5" si="4">B5/B3</f>
        <v>0.29999994358527959</v>
      </c>
      <c r="J5">
        <f t="shared" si="4"/>
        <v>0.36785682698121891</v>
      </c>
      <c r="K5">
        <f>D5/D3</f>
        <v>0.19093878225049943</v>
      </c>
    </row>
    <row r="6" spans="1:11" ht="15.75" x14ac:dyDescent="0.25">
      <c r="A6" s="16" t="s">
        <v>42</v>
      </c>
      <c r="B6" s="14">
        <v>6489</v>
      </c>
      <c r="C6" s="14">
        <v>2938</v>
      </c>
      <c r="D6" s="14">
        <v>14245</v>
      </c>
      <c r="E6">
        <f t="shared" si="0"/>
        <v>7756</v>
      </c>
      <c r="F6" s="4">
        <f t="shared" si="1"/>
        <v>119.52535059331176</v>
      </c>
    </row>
    <row r="7" spans="1:11" ht="15.75" x14ac:dyDescent="0.25">
      <c r="A7" s="16" t="s">
        <v>43</v>
      </c>
      <c r="B7" s="14">
        <v>124572</v>
      </c>
      <c r="C7" s="14">
        <v>157125</v>
      </c>
      <c r="D7" s="14">
        <v>130895</v>
      </c>
      <c r="E7">
        <f t="shared" si="0"/>
        <v>6323</v>
      </c>
      <c r="F7" s="4">
        <f t="shared" si="1"/>
        <v>5.0757794689015183</v>
      </c>
    </row>
    <row r="8" spans="1:11" ht="15.75" x14ac:dyDescent="0.25">
      <c r="A8" s="17" t="s">
        <v>44</v>
      </c>
      <c r="B8" s="14">
        <f>B5+B6-B7</f>
        <v>945469</v>
      </c>
      <c r="C8" s="14">
        <f t="shared" ref="C8:D8" si="5">C5+C6-C7</f>
        <v>864804</v>
      </c>
      <c r="D8" s="14">
        <f t="shared" si="5"/>
        <v>216348</v>
      </c>
      <c r="E8">
        <f t="shared" si="0"/>
        <v>-729121</v>
      </c>
      <c r="F8" s="4">
        <f t="shared" si="1"/>
        <v>-77.117388301467315</v>
      </c>
    </row>
    <row r="9" spans="1:11" ht="15.75" x14ac:dyDescent="0.25">
      <c r="A9" s="16" t="s">
        <v>45</v>
      </c>
      <c r="B9" s="14">
        <v>5124</v>
      </c>
      <c r="C9" s="14">
        <v>1245</v>
      </c>
      <c r="D9" s="14">
        <v>710</v>
      </c>
      <c r="E9">
        <f t="shared" si="0"/>
        <v>-4414</v>
      </c>
      <c r="F9" s="4">
        <f t="shared" si="1"/>
        <v>-86.14363778298204</v>
      </c>
    </row>
    <row r="10" spans="1:11" ht="15.75" x14ac:dyDescent="0.25">
      <c r="A10" s="16" t="s">
        <v>46</v>
      </c>
      <c r="B10" s="14">
        <v>122223</v>
      </c>
      <c r="C10" s="14">
        <v>183910</v>
      </c>
      <c r="D10" s="14">
        <v>145507</v>
      </c>
      <c r="E10">
        <f t="shared" si="0"/>
        <v>23284</v>
      </c>
      <c r="F10" s="4">
        <f t="shared" si="1"/>
        <v>19.050424224573117</v>
      </c>
    </row>
    <row r="11" spans="1:11" ht="15.75" x14ac:dyDescent="0.25">
      <c r="A11" s="16" t="s">
        <v>47</v>
      </c>
      <c r="B11" s="14">
        <v>30727</v>
      </c>
      <c r="C11" s="14">
        <v>28554</v>
      </c>
      <c r="D11" s="14">
        <v>45241</v>
      </c>
      <c r="E11">
        <f t="shared" si="0"/>
        <v>14514</v>
      </c>
      <c r="F11" s="4">
        <f t="shared" si="1"/>
        <v>47.235330491099035</v>
      </c>
    </row>
    <row r="12" spans="1:11" ht="15.75" x14ac:dyDescent="0.25">
      <c r="A12" s="16" t="s">
        <v>48</v>
      </c>
      <c r="B12" s="14">
        <v>177720</v>
      </c>
      <c r="C12" s="14">
        <v>240353</v>
      </c>
      <c r="D12" s="14">
        <v>79150</v>
      </c>
      <c r="E12">
        <f t="shared" si="0"/>
        <v>-98570</v>
      </c>
      <c r="F12" s="4">
        <f t="shared" si="1"/>
        <v>-55.463650686473102</v>
      </c>
    </row>
    <row r="13" spans="1:11" ht="31.5" x14ac:dyDescent="0.25">
      <c r="A13" s="17" t="s">
        <v>49</v>
      </c>
      <c r="B13" s="14">
        <f>B8+B9-B10+B11-B12</f>
        <v>681377</v>
      </c>
      <c r="C13" s="14">
        <f t="shared" ref="C13" si="6">C8+C9-C10+C11-C12</f>
        <v>470340</v>
      </c>
      <c r="D13" s="14">
        <f>D8+D9-D10+D11-D12</f>
        <v>37642</v>
      </c>
      <c r="E13">
        <f t="shared" si="0"/>
        <v>-643735</v>
      </c>
      <c r="F13" s="4">
        <f t="shared" si="1"/>
        <v>-94.47559867738417</v>
      </c>
    </row>
    <row r="14" spans="1:11" ht="15.75" x14ac:dyDescent="0.25">
      <c r="A14" s="16" t="s">
        <v>50</v>
      </c>
      <c r="B14" s="14">
        <v>62165</v>
      </c>
      <c r="C14" s="14">
        <v>96299</v>
      </c>
      <c r="D14" s="14">
        <v>8282</v>
      </c>
      <c r="E14">
        <f t="shared" si="0"/>
        <v>-53883</v>
      </c>
      <c r="F14" s="4">
        <f t="shared" si="1"/>
        <v>-86.677390814767151</v>
      </c>
    </row>
    <row r="15" spans="1:11" ht="31.5" x14ac:dyDescent="0.25">
      <c r="A15" s="16" t="s">
        <v>51</v>
      </c>
      <c r="B15" s="14">
        <v>1229</v>
      </c>
      <c r="C15" s="14">
        <v>5376</v>
      </c>
      <c r="D15" s="14">
        <v>789</v>
      </c>
      <c r="E15">
        <f t="shared" si="0"/>
        <v>-440</v>
      </c>
      <c r="F15" s="4">
        <f t="shared" si="1"/>
        <v>-35.801464605370221</v>
      </c>
    </row>
    <row r="16" spans="1:11" ht="15.75" x14ac:dyDescent="0.25">
      <c r="A16" s="16" t="s">
        <v>53</v>
      </c>
      <c r="B16" s="12">
        <f>SUM(B20:B27)</f>
        <v>277992.04632000002</v>
      </c>
      <c r="C16" s="12">
        <f t="shared" ref="C16:D16" si="7">SUM(C20:C27)</f>
        <v>230550.88887999998</v>
      </c>
      <c r="D16" s="12">
        <f t="shared" si="7"/>
        <v>129382.68784</v>
      </c>
      <c r="E16">
        <f t="shared" si="0"/>
        <v>-148609.35848000002</v>
      </c>
      <c r="F16" s="4">
        <f t="shared" si="1"/>
        <v>-53.458133226205319</v>
      </c>
    </row>
    <row r="17" spans="1:10" ht="31.5" x14ac:dyDescent="0.25">
      <c r="A17" s="17" t="s">
        <v>52</v>
      </c>
      <c r="B17" s="20">
        <f>B13+B14-B15-B16</f>
        <v>464320.95367999998</v>
      </c>
      <c r="C17" s="20">
        <f t="shared" ref="C17:D17" si="8">C13+C14-C15-C16</f>
        <v>330712.11112000002</v>
      </c>
      <c r="D17" s="20">
        <f t="shared" si="8"/>
        <v>-84247.687839999999</v>
      </c>
      <c r="E17">
        <f t="shared" si="0"/>
        <v>-548568.64151999995</v>
      </c>
      <c r="F17" s="4">
        <f t="shared" si="1"/>
        <v>-118.14427868746617</v>
      </c>
    </row>
    <row r="18" spans="1:10" x14ac:dyDescent="0.25">
      <c r="B18" s="18">
        <f>B17/12</f>
        <v>38693.412806666667</v>
      </c>
      <c r="C18" s="18">
        <f t="shared" ref="C18:D18" si="9">C17/12</f>
        <v>27559.342593333335</v>
      </c>
      <c r="D18" s="18">
        <f t="shared" si="9"/>
        <v>-7020.6406533333329</v>
      </c>
      <c r="F18" s="4"/>
    </row>
    <row r="19" spans="1:10" x14ac:dyDescent="0.25">
      <c r="F19" s="4"/>
    </row>
    <row r="20" spans="1:10" ht="15.75" x14ac:dyDescent="0.25">
      <c r="A20" s="19" t="s">
        <v>78</v>
      </c>
      <c r="B20" s="4">
        <f>0.2*B13</f>
        <v>136275.4</v>
      </c>
      <c r="C20" s="4">
        <f>0.2*C13</f>
        <v>94068</v>
      </c>
      <c r="D20" s="4">
        <f>0.2*D13</f>
        <v>7528.4000000000005</v>
      </c>
      <c r="E20">
        <f t="shared" si="0"/>
        <v>-128747</v>
      </c>
      <c r="F20" s="4">
        <f t="shared" si="1"/>
        <v>-94.475598677384184</v>
      </c>
    </row>
    <row r="21" spans="1:10" x14ac:dyDescent="0.25">
      <c r="A21" t="s">
        <v>79</v>
      </c>
      <c r="B21" s="4">
        <v>5124</v>
      </c>
      <c r="C21" s="4">
        <v>4215</v>
      </c>
      <c r="D21" s="4">
        <v>4111</v>
      </c>
      <c r="E21">
        <f t="shared" si="0"/>
        <v>-1013</v>
      </c>
      <c r="F21" s="4">
        <f t="shared" si="1"/>
        <v>-19.769711163153787</v>
      </c>
    </row>
    <row r="22" spans="1:10" x14ac:dyDescent="0.25">
      <c r="A22" t="s">
        <v>54</v>
      </c>
      <c r="B22" s="4">
        <f>142000*0.3</f>
        <v>42600</v>
      </c>
      <c r="C22" s="4">
        <f t="shared" ref="C22:D22" si="10">142000*0.3</f>
        <v>42600</v>
      </c>
      <c r="D22" s="4">
        <f t="shared" si="10"/>
        <v>42600</v>
      </c>
      <c r="E22">
        <f t="shared" si="0"/>
        <v>0</v>
      </c>
      <c r="F22" s="4">
        <f t="shared" si="1"/>
        <v>0</v>
      </c>
    </row>
    <row r="23" spans="1:10" x14ac:dyDescent="0.25">
      <c r="A23" t="s">
        <v>55</v>
      </c>
      <c r="B23" s="4">
        <f>Лист1!B6*5.2</f>
        <v>3712.8</v>
      </c>
      <c r="C23" s="4">
        <f>Лист1!C6*5.2</f>
        <v>3400.8</v>
      </c>
      <c r="D23" s="4">
        <f>Лист1!D6*5.2</f>
        <v>3068</v>
      </c>
      <c r="E23">
        <f t="shared" si="0"/>
        <v>-644.80000000000018</v>
      </c>
      <c r="F23" s="4">
        <f t="shared" si="1"/>
        <v>-17.36694677871149</v>
      </c>
    </row>
    <row r="24" spans="1:10" ht="31.5" x14ac:dyDescent="0.25">
      <c r="A24" s="19" t="s">
        <v>167</v>
      </c>
      <c r="B24" s="4">
        <f>Лист3!B3*0.35</f>
        <v>82532.267999999996</v>
      </c>
      <c r="C24" s="4">
        <f>Лист3!C3*0.35</f>
        <v>78997.212</v>
      </c>
      <c r="D24" s="4">
        <f>Лист3!D3*0.35</f>
        <v>65375.015999999996</v>
      </c>
      <c r="E24">
        <f t="shared" si="0"/>
        <v>-17157.252</v>
      </c>
      <c r="F24" s="4">
        <f t="shared" si="1"/>
        <v>-20.788538126687612</v>
      </c>
    </row>
    <row r="25" spans="1:10" x14ac:dyDescent="0.25">
      <c r="A25" t="s">
        <v>56</v>
      </c>
      <c r="B25" s="4">
        <f>Лист3!B3*0.009</f>
        <v>2122.2583199999999</v>
      </c>
      <c r="C25" s="4">
        <f>Лист3!C3*0.009</f>
        <v>2031.3568799999998</v>
      </c>
      <c r="D25" s="4">
        <f>Лист3!D3*0.009</f>
        <v>1681.0718400000001</v>
      </c>
      <c r="E25">
        <f t="shared" si="0"/>
        <v>-441.18647999999985</v>
      </c>
      <c r="F25" s="4">
        <f t="shared" si="1"/>
        <v>-20.788538126687605</v>
      </c>
    </row>
    <row r="26" spans="1:10" x14ac:dyDescent="0.25">
      <c r="A26" t="s">
        <v>57</v>
      </c>
      <c r="B26" s="4">
        <f>356</f>
        <v>356</v>
      </c>
      <c r="C26" s="4">
        <v>412</v>
      </c>
      <c r="D26" s="4">
        <v>665</v>
      </c>
      <c r="E26">
        <f t="shared" si="0"/>
        <v>309</v>
      </c>
      <c r="F26" s="4">
        <f t="shared" si="1"/>
        <v>86.797752808988761</v>
      </c>
      <c r="H26">
        <f t="shared" ref="H26:I26" si="11">B26/B16</f>
        <v>1.2806121783434194E-3</v>
      </c>
      <c r="I26">
        <f t="shared" si="11"/>
        <v>1.7870241229668081E-3</v>
      </c>
      <c r="J26">
        <f>D26/D16</f>
        <v>5.1397911969672987E-3</v>
      </c>
    </row>
    <row r="27" spans="1:10" ht="15.75" thickBot="1" x14ac:dyDescent="0.3">
      <c r="A27" t="s">
        <v>58</v>
      </c>
      <c r="B27" s="4">
        <f>9*Лист1!B6*0.82</f>
        <v>5269.32</v>
      </c>
      <c r="C27" s="4">
        <f>9*Лист1!C6*0.82</f>
        <v>4826.5199999999995</v>
      </c>
      <c r="D27" s="4">
        <f>9*Лист1!D6*0.82</f>
        <v>4354.2</v>
      </c>
      <c r="E27">
        <f t="shared" si="0"/>
        <v>-915.11999999999989</v>
      </c>
      <c r="F27" s="4">
        <f t="shared" si="1"/>
        <v>-17.366946778711483</v>
      </c>
    </row>
    <row r="28" spans="1:10" ht="15.75" thickBot="1" x14ac:dyDescent="0.3">
      <c r="B28" s="25"/>
      <c r="C28" s="26"/>
      <c r="D28" s="26"/>
      <c r="E28">
        <f t="shared" ref="E28" si="12">D28-B28</f>
        <v>0</v>
      </c>
      <c r="F28" s="4" t="e">
        <f t="shared" ref="F28" si="13">E28/B28*100</f>
        <v>#DIV/0!</v>
      </c>
    </row>
  </sheetData>
  <mergeCells count="2">
    <mergeCell ref="A1:A2"/>
    <mergeCell ref="B1:D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L9" sqref="L9"/>
    </sheetView>
  </sheetViews>
  <sheetFormatPr defaultRowHeight="15" x14ac:dyDescent="0.25"/>
  <cols>
    <col min="1" max="1" width="23" customWidth="1"/>
    <col min="2" max="2" width="11.42578125" customWidth="1"/>
    <col min="3" max="3" width="10.140625" bestFit="1" customWidth="1"/>
    <col min="4" max="4" width="12.28515625" customWidth="1"/>
    <col min="5" max="5" width="11.140625" bestFit="1" customWidth="1"/>
    <col min="6" max="6" width="9.28515625" bestFit="1" customWidth="1"/>
  </cols>
  <sheetData>
    <row r="1" spans="1:6" ht="15.75" x14ac:dyDescent="0.25">
      <c r="A1" s="14" t="s">
        <v>60</v>
      </c>
      <c r="B1" s="14" t="s">
        <v>61</v>
      </c>
      <c r="C1" s="14" t="s">
        <v>2</v>
      </c>
      <c r="D1" s="14" t="s">
        <v>3</v>
      </c>
    </row>
    <row r="2" spans="1:6" ht="15.75" x14ac:dyDescent="0.25">
      <c r="A2" s="22" t="s">
        <v>62</v>
      </c>
      <c r="B2" s="23">
        <v>3165474</v>
      </c>
      <c r="C2" s="23">
        <v>2720326</v>
      </c>
      <c r="D2" s="23">
        <v>1717980</v>
      </c>
      <c r="E2" s="24">
        <f>D2-B2</f>
        <v>-1447494</v>
      </c>
      <c r="F2" s="24">
        <f>E2/B2*100</f>
        <v>-45.727559284960165</v>
      </c>
    </row>
    <row r="3" spans="1:6" ht="15.75" x14ac:dyDescent="0.25">
      <c r="A3" s="22" t="s">
        <v>63</v>
      </c>
      <c r="B3" s="23">
        <v>366600</v>
      </c>
      <c r="C3" s="23">
        <v>37701</v>
      </c>
      <c r="D3" s="23">
        <v>12933</v>
      </c>
      <c r="E3" s="24">
        <f t="shared" ref="E3:E7" si="0">D3-B3</f>
        <v>-353667</v>
      </c>
      <c r="F3" s="24">
        <f t="shared" ref="F3:F7" si="1">E3/B3*100</f>
        <v>-96.4721767594108</v>
      </c>
    </row>
    <row r="4" spans="1:6" ht="15.75" x14ac:dyDescent="0.25">
      <c r="A4" s="22" t="s">
        <v>64</v>
      </c>
      <c r="B4" s="23">
        <v>7501</v>
      </c>
      <c r="C4" s="23">
        <v>7742</v>
      </c>
      <c r="D4" s="23">
        <v>10322</v>
      </c>
      <c r="E4" s="24">
        <f t="shared" si="0"/>
        <v>2821</v>
      </c>
      <c r="F4" s="24">
        <f t="shared" si="1"/>
        <v>37.608318890814559</v>
      </c>
    </row>
    <row r="5" spans="1:6" ht="15.75" x14ac:dyDescent="0.25">
      <c r="A5" s="22" t="s">
        <v>65</v>
      </c>
      <c r="B5" s="23">
        <v>3476</v>
      </c>
      <c r="C5" s="23">
        <v>3452</v>
      </c>
      <c r="D5" s="14">
        <v>1474</v>
      </c>
      <c r="E5" s="24">
        <f t="shared" si="0"/>
        <v>-2002</v>
      </c>
      <c r="F5" s="24">
        <f t="shared" si="1"/>
        <v>-57.594936708860757</v>
      </c>
    </row>
    <row r="6" spans="1:6" ht="15.75" x14ac:dyDescent="0.25">
      <c r="A6" s="22" t="s">
        <v>66</v>
      </c>
      <c r="B6" s="23">
        <v>2123</v>
      </c>
      <c r="C6" s="14">
        <v>854</v>
      </c>
      <c r="D6" s="14">
        <v>1295</v>
      </c>
      <c r="E6" s="24">
        <f t="shared" si="0"/>
        <v>-828</v>
      </c>
      <c r="F6" s="24">
        <f t="shared" si="1"/>
        <v>-39.001413094677346</v>
      </c>
    </row>
    <row r="7" spans="1:6" ht="15.75" x14ac:dyDescent="0.25">
      <c r="A7" s="16" t="s">
        <v>67</v>
      </c>
      <c r="B7" s="23">
        <v>3545174</v>
      </c>
      <c r="C7" s="23">
        <f>SUM(C2:C6)</f>
        <v>2770075</v>
      </c>
      <c r="D7" s="23">
        <v>1744004</v>
      </c>
      <c r="E7" s="24">
        <f t="shared" si="0"/>
        <v>-1801170</v>
      </c>
      <c r="F7" s="24">
        <f t="shared" si="1"/>
        <v>-50.806250976679848</v>
      </c>
    </row>
    <row r="8" spans="1:6" x14ac:dyDescent="0.25">
      <c r="F8" s="24">
        <f>AVERAGE(F2:F7)</f>
        <v>-41.999002988962395</v>
      </c>
    </row>
    <row r="9" spans="1:6" x14ac:dyDescent="0.25">
      <c r="C9" s="21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="130" zoomScaleNormal="130" workbookViewId="0">
      <selection activeCell="F11" sqref="F11"/>
    </sheetView>
  </sheetViews>
  <sheetFormatPr defaultRowHeight="15" x14ac:dyDescent="0.25"/>
  <cols>
    <col min="1" max="1" width="26.42578125" customWidth="1"/>
    <col min="2" max="2" width="13.7109375" bestFit="1" customWidth="1"/>
    <col min="3" max="3" width="12" customWidth="1"/>
    <col min="4" max="4" width="11.28515625" customWidth="1"/>
    <col min="5" max="5" width="12.42578125" customWidth="1"/>
  </cols>
  <sheetData>
    <row r="1" spans="1:6" ht="15.75" x14ac:dyDescent="0.25">
      <c r="A1" s="49" t="s">
        <v>68</v>
      </c>
      <c r="B1" s="49" t="s">
        <v>69</v>
      </c>
      <c r="C1" s="49"/>
      <c r="D1" s="49"/>
    </row>
    <row r="2" spans="1:6" ht="15.75" x14ac:dyDescent="0.25">
      <c r="A2" s="49"/>
      <c r="B2" s="1" t="s">
        <v>1</v>
      </c>
      <c r="C2" s="1" t="s">
        <v>2</v>
      </c>
      <c r="D2" s="1" t="s">
        <v>3</v>
      </c>
    </row>
    <row r="3" spans="1:6" ht="15.75" x14ac:dyDescent="0.25">
      <c r="A3" s="5" t="s">
        <v>70</v>
      </c>
      <c r="B3" s="8">
        <f>Лист3!B3</f>
        <v>235806.48</v>
      </c>
      <c r="C3" s="8">
        <f>Лист3!C3</f>
        <v>225706.32</v>
      </c>
      <c r="D3" s="8">
        <f>Лист3!D3</f>
        <v>186785.76</v>
      </c>
      <c r="E3" s="4">
        <f>D3-B3</f>
        <v>-49020.72</v>
      </c>
      <c r="F3" s="4">
        <f>E3/B3*100</f>
        <v>-20.788538126687612</v>
      </c>
    </row>
    <row r="4" spans="1:6" ht="15.75" x14ac:dyDescent="0.25">
      <c r="A4" s="5" t="s">
        <v>71</v>
      </c>
      <c r="B4" s="8">
        <f>B3*0.035</f>
        <v>8253.2268000000004</v>
      </c>
      <c r="C4" s="8">
        <f t="shared" ref="C4:D4" si="0">C3*0.035</f>
        <v>7899.7212000000009</v>
      </c>
      <c r="D4" s="8">
        <f t="shared" si="0"/>
        <v>6537.5016000000005</v>
      </c>
      <c r="E4" s="4">
        <f t="shared" ref="E4:E11" si="1">D4-B4</f>
        <v>-1715.7251999999999</v>
      </c>
      <c r="F4" s="4">
        <f t="shared" ref="F4:F11" si="2">E4/B4*100</f>
        <v>-20.788538126687612</v>
      </c>
    </row>
    <row r="5" spans="1:6" ht="15.75" x14ac:dyDescent="0.25">
      <c r="A5" s="5" t="s">
        <v>72</v>
      </c>
      <c r="B5" s="8">
        <v>2218684.9931999999</v>
      </c>
      <c r="C5" s="8">
        <v>1499011.6587999999</v>
      </c>
      <c r="D5" s="8">
        <v>1199664.2383999999</v>
      </c>
      <c r="E5" s="4">
        <f t="shared" si="1"/>
        <v>-1019020.7548</v>
      </c>
      <c r="F5" s="4">
        <f t="shared" si="2"/>
        <v>-45.929041658602948</v>
      </c>
    </row>
    <row r="6" spans="1:6" ht="15.75" x14ac:dyDescent="0.25">
      <c r="A6" s="5" t="s">
        <v>73</v>
      </c>
      <c r="B6" s="8">
        <v>106.1</v>
      </c>
      <c r="C6" s="8">
        <v>122.6</v>
      </c>
      <c r="D6" s="8">
        <v>258.60000000000002</v>
      </c>
      <c r="E6" s="4">
        <f t="shared" si="1"/>
        <v>152.50000000000003</v>
      </c>
      <c r="F6" s="4">
        <f t="shared" si="2"/>
        <v>143.73232799245997</v>
      </c>
    </row>
    <row r="7" spans="1:6" ht="15.75" x14ac:dyDescent="0.25">
      <c r="A7" s="5" t="s">
        <v>74</v>
      </c>
      <c r="B7" s="8">
        <v>1334.6</v>
      </c>
      <c r="C7" s="8">
        <v>1771.3</v>
      </c>
      <c r="D7" s="8">
        <v>1740.9</v>
      </c>
      <c r="E7" s="4">
        <f t="shared" si="1"/>
        <v>406.30000000000018</v>
      </c>
      <c r="F7" s="4">
        <f t="shared" si="2"/>
        <v>30.443578600329701</v>
      </c>
    </row>
    <row r="8" spans="1:6" ht="15.75" x14ac:dyDescent="0.25">
      <c r="A8" s="5" t="s">
        <v>75</v>
      </c>
      <c r="B8" s="8">
        <v>1734.9</v>
      </c>
      <c r="C8" s="8">
        <v>1473.9</v>
      </c>
      <c r="D8" s="8">
        <v>2115.4</v>
      </c>
      <c r="E8" s="4">
        <f t="shared" si="1"/>
        <v>380.5</v>
      </c>
      <c r="F8" s="4">
        <f t="shared" si="2"/>
        <v>21.932099832843392</v>
      </c>
    </row>
    <row r="9" spans="1:6" ht="15.75" x14ac:dyDescent="0.25">
      <c r="A9" s="5" t="s">
        <v>76</v>
      </c>
      <c r="B9" s="8">
        <v>12844</v>
      </c>
      <c r="C9" s="8">
        <v>11532.3</v>
      </c>
      <c r="D9" s="8">
        <v>10339.799999999999</v>
      </c>
      <c r="E9" s="4">
        <f t="shared" si="1"/>
        <v>-2504.2000000000007</v>
      </c>
      <c r="F9" s="4">
        <f t="shared" si="2"/>
        <v>-19.49704142011835</v>
      </c>
    </row>
    <row r="10" spans="1:6" ht="15.75" x14ac:dyDescent="0.25">
      <c r="A10" s="5" t="s">
        <v>77</v>
      </c>
      <c r="B10" s="8">
        <v>2857.7</v>
      </c>
      <c r="C10" s="8">
        <v>3566.2</v>
      </c>
      <c r="D10" s="8">
        <v>3563.8</v>
      </c>
      <c r="E10" s="4">
        <f t="shared" si="1"/>
        <v>706.10000000000036</v>
      </c>
      <c r="F10" s="4">
        <f t="shared" si="2"/>
        <v>24.70868180704764</v>
      </c>
    </row>
    <row r="11" spans="1:6" ht="15.75" x14ac:dyDescent="0.25">
      <c r="A11" s="5" t="s">
        <v>13</v>
      </c>
      <c r="B11" s="8">
        <f>SUM(B3:B10)</f>
        <v>2481622</v>
      </c>
      <c r="C11" s="8">
        <f t="shared" ref="C11:D11" si="3">SUM(C3:C10)</f>
        <v>1751084</v>
      </c>
      <c r="D11" s="8">
        <f t="shared" si="3"/>
        <v>1411006</v>
      </c>
      <c r="E11" s="4">
        <f t="shared" si="1"/>
        <v>-1070616</v>
      </c>
      <c r="F11" s="4">
        <f t="shared" si="2"/>
        <v>-43.141783881670939</v>
      </c>
    </row>
    <row r="12" spans="1:6" x14ac:dyDescent="0.25">
      <c r="B12">
        <f>Лист5!B4</f>
        <v>2481622</v>
      </c>
      <c r="C12">
        <f>Лист5!C4</f>
        <v>1751084</v>
      </c>
      <c r="D12">
        <f>Лист5!D4</f>
        <v>1411006</v>
      </c>
    </row>
    <row r="13" spans="1:6" x14ac:dyDescent="0.25">
      <c r="B13" s="12">
        <f>B11-B12</f>
        <v>0</v>
      </c>
      <c r="C13" s="12">
        <f t="shared" ref="C13:D13" si="4">C11-C12</f>
        <v>0</v>
      </c>
      <c r="D13" s="12">
        <f t="shared" si="4"/>
        <v>0</v>
      </c>
    </row>
    <row r="14" spans="1:6" x14ac:dyDescent="0.25">
      <c r="B14" s="4">
        <f>B12-B10-B9-B8-B7-B6-B4-B3</f>
        <v>2218684.9931999999</v>
      </c>
      <c r="C14" s="4">
        <f t="shared" ref="C14:D14" si="5">C12-C10-C9-C8-C7-C6-C4-C3</f>
        <v>1499011.6587999999</v>
      </c>
      <c r="D14" s="4">
        <f t="shared" si="5"/>
        <v>1199664.2383999999</v>
      </c>
    </row>
  </sheetData>
  <mergeCells count="2">
    <mergeCell ref="A1:A2"/>
    <mergeCell ref="B1:D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3" sqref="B3"/>
    </sheetView>
  </sheetViews>
  <sheetFormatPr defaultRowHeight="15" x14ac:dyDescent="0.25"/>
  <cols>
    <col min="1" max="1" width="27.140625" customWidth="1"/>
    <col min="2" max="2" width="13.140625" bestFit="1" customWidth="1"/>
    <col min="5" max="5" width="11" customWidth="1"/>
  </cols>
  <sheetData>
    <row r="1" spans="1:5" ht="31.5" x14ac:dyDescent="0.25">
      <c r="A1" s="48" t="s">
        <v>17</v>
      </c>
      <c r="B1" s="48" t="s">
        <v>80</v>
      </c>
      <c r="C1" s="48" t="s">
        <v>81</v>
      </c>
      <c r="D1" s="48" t="s">
        <v>82</v>
      </c>
      <c r="E1" s="14" t="s">
        <v>83</v>
      </c>
    </row>
    <row r="2" spans="1:5" ht="16.5" thickBot="1" x14ac:dyDescent="0.3">
      <c r="A2" s="48"/>
      <c r="B2" s="48"/>
      <c r="C2" s="48"/>
      <c r="D2" s="48"/>
      <c r="E2" s="14" t="s">
        <v>84</v>
      </c>
    </row>
    <row r="3" spans="1:5" ht="48" thickBot="1" x14ac:dyDescent="0.3">
      <c r="A3" s="16" t="s">
        <v>85</v>
      </c>
      <c r="B3" s="27">
        <f>Лист5!B16</f>
        <v>277992.04632000002</v>
      </c>
      <c r="C3" s="27">
        <f>Лист5!C16</f>
        <v>230550.88887999998</v>
      </c>
      <c r="D3" s="27">
        <f>Лист5!D16</f>
        <v>129382.68784</v>
      </c>
      <c r="E3" s="14">
        <f>D3-B3</f>
        <v>-148609.35848000002</v>
      </c>
    </row>
    <row r="4" spans="1:5" ht="15.75" x14ac:dyDescent="0.25">
      <c r="A4" s="16" t="s">
        <v>59</v>
      </c>
      <c r="B4" s="14">
        <f>Лист5!B3</f>
        <v>3545174</v>
      </c>
      <c r="C4" s="14">
        <f>Лист5!C3</f>
        <v>2770075</v>
      </c>
      <c r="D4" s="14">
        <f>Лист5!D3</f>
        <v>1744004</v>
      </c>
      <c r="E4" s="14">
        <f t="shared" ref="E4:E5" si="0">D4-B4</f>
        <v>-1801170</v>
      </c>
    </row>
    <row r="5" spans="1:5" ht="31.5" x14ac:dyDescent="0.25">
      <c r="A5" s="16" t="s">
        <v>86</v>
      </c>
      <c r="B5" s="28">
        <f>B3/B4*100</f>
        <v>7.8414217840929679</v>
      </c>
      <c r="C5" s="28">
        <f t="shared" ref="C5:D5" si="1">C3/C4*100</f>
        <v>8.3229114330839415</v>
      </c>
      <c r="D5" s="28">
        <f t="shared" si="1"/>
        <v>7.418715085515859</v>
      </c>
      <c r="E5" s="28">
        <f t="shared" si="0"/>
        <v>-0.42270669857710885</v>
      </c>
    </row>
  </sheetData>
  <mergeCells count="4">
    <mergeCell ref="A1:A2"/>
    <mergeCell ref="B1:B2"/>
    <mergeCell ref="C1:C2"/>
    <mergeCell ref="D1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D3" sqref="D3"/>
    </sheetView>
  </sheetViews>
  <sheetFormatPr defaultRowHeight="15" x14ac:dyDescent="0.25"/>
  <cols>
    <col min="1" max="1" width="36.28515625" customWidth="1"/>
    <col min="2" max="2" width="13.140625" bestFit="1" customWidth="1"/>
    <col min="4" max="4" width="13.140625" bestFit="1" customWidth="1"/>
    <col min="5" max="5" width="12.140625" customWidth="1"/>
  </cols>
  <sheetData>
    <row r="1" spans="1:5" ht="31.5" x14ac:dyDescent="0.25">
      <c r="A1" s="14" t="s">
        <v>17</v>
      </c>
      <c r="B1" s="14" t="s">
        <v>80</v>
      </c>
      <c r="C1" s="14" t="s">
        <v>81</v>
      </c>
      <c r="D1" s="14" t="s">
        <v>82</v>
      </c>
      <c r="E1" s="14" t="s">
        <v>87</v>
      </c>
    </row>
    <row r="2" spans="1:5" ht="31.5" x14ac:dyDescent="0.25">
      <c r="A2" s="16" t="s">
        <v>88</v>
      </c>
      <c r="B2" s="29">
        <v>277992</v>
      </c>
      <c r="C2" s="29">
        <v>230551</v>
      </c>
      <c r="D2" s="29">
        <v>129383</v>
      </c>
      <c r="E2" s="14">
        <f>D2-B2</f>
        <v>-148609</v>
      </c>
    </row>
    <row r="3" spans="1:5" ht="15.75" x14ac:dyDescent="0.25">
      <c r="A3" s="16" t="s">
        <v>89</v>
      </c>
      <c r="B3" s="14">
        <f>Лист5!B3-Лист7!B9-SUM(Лист7!B5:B8)+Лист5!B9+Лист5!B11-Лист5!B10-Лист5!B12</f>
        <v>1046377.4068</v>
      </c>
      <c r="C3" s="14">
        <f>Лист5!C3-Лист7!C9-SUM(Лист7!C5:C8)+Лист5!C9+Лист5!C11-Лист5!C10-Лист5!C12</f>
        <v>861699.24120000028</v>
      </c>
      <c r="D3" s="20">
        <f>Лист5!D3-Лист7!D9-SUM(Лист7!D5:D8)+Лист5!D9+Лист5!D11-Лист5!D10-Лист5!D12</f>
        <v>351179.06160000013</v>
      </c>
      <c r="E3" s="14">
        <f t="shared" ref="E3:E4" si="0">D3-B3</f>
        <v>-695198.34519999987</v>
      </c>
    </row>
    <row r="4" spans="1:5" ht="15.75" x14ac:dyDescent="0.25">
      <c r="A4" s="16" t="s">
        <v>86</v>
      </c>
      <c r="B4" s="28">
        <f>B2/B3*100</f>
        <v>26.567087381038434</v>
      </c>
      <c r="C4" s="28">
        <f t="shared" ref="C4:D4" si="1">C2/C3*100</f>
        <v>26.755390857596119</v>
      </c>
      <c r="D4" s="28">
        <f t="shared" si="1"/>
        <v>36.842458491266711</v>
      </c>
      <c r="E4" s="28">
        <f t="shared" si="0"/>
        <v>10.275371110228278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6" sqref="D6"/>
    </sheetView>
  </sheetViews>
  <sheetFormatPr defaultRowHeight="15" x14ac:dyDescent="0.25"/>
  <cols>
    <col min="1" max="1" width="32.85546875" customWidth="1"/>
    <col min="2" max="2" width="13.140625" bestFit="1" customWidth="1"/>
  </cols>
  <sheetData>
    <row r="1" spans="1:5" ht="31.5" x14ac:dyDescent="0.25">
      <c r="A1" s="48" t="s">
        <v>17</v>
      </c>
      <c r="B1" s="48" t="s">
        <v>1</v>
      </c>
      <c r="C1" s="48" t="s">
        <v>2</v>
      </c>
      <c r="D1" s="48" t="s">
        <v>3</v>
      </c>
      <c r="E1" s="14" t="s">
        <v>83</v>
      </c>
    </row>
    <row r="2" spans="1:5" ht="15.75" x14ac:dyDescent="0.25">
      <c r="A2" s="48"/>
      <c r="B2" s="48"/>
      <c r="C2" s="48"/>
      <c r="D2" s="48"/>
      <c r="E2" s="14" t="s">
        <v>84</v>
      </c>
    </row>
    <row r="3" spans="1:5" ht="31.5" x14ac:dyDescent="0.25">
      <c r="A3" s="16" t="s">
        <v>90</v>
      </c>
      <c r="B3" s="14">
        <f>Лист10!B2</f>
        <v>277992</v>
      </c>
      <c r="C3" s="14">
        <f>Лист10!C2</f>
        <v>230551</v>
      </c>
      <c r="D3" s="14">
        <f>Лист10!D2</f>
        <v>129383</v>
      </c>
      <c r="E3" s="14">
        <f>D3-B3</f>
        <v>-148609</v>
      </c>
    </row>
    <row r="4" spans="1:5" ht="31.5" x14ac:dyDescent="0.25">
      <c r="A4" s="16" t="s">
        <v>91</v>
      </c>
      <c r="B4" s="28">
        <f>B3/Лист5!B3*100</f>
        <v>7.8414204775280423</v>
      </c>
      <c r="C4" s="28">
        <f>C3/Лист5!C3*100</f>
        <v>8.3229154445276752</v>
      </c>
      <c r="D4" s="28">
        <f>D3/Лист5!D3*100</f>
        <v>7.4187329845573746</v>
      </c>
      <c r="E4" s="28">
        <f t="shared" ref="E4:E6" si="0">D4-B4</f>
        <v>-0.42268749297066766</v>
      </c>
    </row>
    <row r="5" spans="1:5" ht="31.5" x14ac:dyDescent="0.25">
      <c r="A5" s="16" t="s">
        <v>92</v>
      </c>
      <c r="B5" s="28">
        <f>Лист10!B4</f>
        <v>26.567087381038434</v>
      </c>
      <c r="C5" s="28">
        <f>Лист10!C4</f>
        <v>26.755390857596119</v>
      </c>
      <c r="D5" s="28">
        <f>Лист10!D4</f>
        <v>36.842458491266711</v>
      </c>
      <c r="E5" s="28">
        <f t="shared" si="0"/>
        <v>10.275371110228278</v>
      </c>
    </row>
    <row r="6" spans="1:5" ht="31.5" x14ac:dyDescent="0.25">
      <c r="A6" s="16" t="s">
        <v>93</v>
      </c>
      <c r="B6" s="28">
        <f>B3/Лист5!B17*100</f>
        <v>59.870655803224018</v>
      </c>
      <c r="C6" s="28">
        <f>C3/Лист5!C17*100</f>
        <v>69.713503753826473</v>
      </c>
      <c r="D6" s="28">
        <f>D3/Лист5!D17*100</f>
        <v>-153.57454111467044</v>
      </c>
      <c r="E6" s="28">
        <f t="shared" si="0"/>
        <v>-213.44519691789446</v>
      </c>
    </row>
  </sheetData>
  <mergeCells count="4">
    <mergeCell ref="A1:A2"/>
    <mergeCell ref="B1:B2"/>
    <mergeCell ref="C1:C2"/>
    <mergeCell ref="D1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5" sqref="D5"/>
    </sheetView>
  </sheetViews>
  <sheetFormatPr defaultRowHeight="15" x14ac:dyDescent="0.25"/>
  <cols>
    <col min="1" max="1" width="32.85546875" customWidth="1"/>
    <col min="2" max="2" width="13.140625" bestFit="1" customWidth="1"/>
  </cols>
  <sheetData>
    <row r="1" spans="1:5" ht="31.5" x14ac:dyDescent="0.25">
      <c r="A1" s="48" t="s">
        <v>17</v>
      </c>
      <c r="B1" s="48" t="s">
        <v>1</v>
      </c>
      <c r="C1" s="48" t="s">
        <v>2</v>
      </c>
      <c r="D1" s="48" t="s">
        <v>3</v>
      </c>
      <c r="E1" s="14" t="s">
        <v>83</v>
      </c>
    </row>
    <row r="2" spans="1:5" ht="15.75" x14ac:dyDescent="0.25">
      <c r="A2" s="48"/>
      <c r="B2" s="48"/>
      <c r="C2" s="48"/>
      <c r="D2" s="48"/>
      <c r="E2" s="14" t="s">
        <v>84</v>
      </c>
    </row>
    <row r="3" spans="1:5" ht="31.5" x14ac:dyDescent="0.25">
      <c r="A3" s="16" t="s">
        <v>90</v>
      </c>
      <c r="B3" s="14">
        <f>Лист10!B2</f>
        <v>277992</v>
      </c>
      <c r="C3" s="14">
        <f>Лист10!C2</f>
        <v>230551</v>
      </c>
      <c r="D3" s="14">
        <f>Лист10!D2</f>
        <v>129383</v>
      </c>
      <c r="E3" s="14">
        <f>D3-B3</f>
        <v>-148609</v>
      </c>
    </row>
    <row r="4" spans="1:5" ht="31.5" x14ac:dyDescent="0.25">
      <c r="A4" s="16" t="s">
        <v>94</v>
      </c>
      <c r="B4" s="28">
        <f>B3/Лист5!B3*100</f>
        <v>7.8414204775280423</v>
      </c>
      <c r="C4" s="28">
        <f>C3/Лист5!C3*100</f>
        <v>8.3229154445276752</v>
      </c>
      <c r="D4" s="28">
        <f>D3/Лист5!D3*100</f>
        <v>7.4187329845573746</v>
      </c>
      <c r="E4" s="28">
        <f t="shared" ref="E4:E6" si="0">D4-B4</f>
        <v>-0.42268749297066766</v>
      </c>
    </row>
    <row r="5" spans="1:5" ht="31.5" x14ac:dyDescent="0.25">
      <c r="A5" s="16" t="s">
        <v>95</v>
      </c>
      <c r="B5" s="28">
        <f>Лист10!B4</f>
        <v>26.567087381038434</v>
      </c>
      <c r="C5" s="28">
        <f>Лист10!C4</f>
        <v>26.755390857596119</v>
      </c>
      <c r="D5" s="28">
        <f>Лист10!D4</f>
        <v>36.842458491266711</v>
      </c>
      <c r="E5" s="28">
        <f t="shared" si="0"/>
        <v>10.275371110228278</v>
      </c>
    </row>
    <row r="6" spans="1:5" ht="31.5" x14ac:dyDescent="0.25">
      <c r="A6" s="16" t="s">
        <v>96</v>
      </c>
      <c r="B6" s="28">
        <f>B3/Лист5!B17*100</f>
        <v>59.870655803224018</v>
      </c>
      <c r="C6" s="28">
        <f>C3/Лист5!C17*100</f>
        <v>69.713503753826473</v>
      </c>
      <c r="D6" s="28">
        <f>-D3/Лист5!D17*100</f>
        <v>153.57454111467044</v>
      </c>
      <c r="E6" s="28">
        <f t="shared" si="0"/>
        <v>93.703885311446413</v>
      </c>
    </row>
  </sheetData>
  <mergeCells count="4">
    <mergeCell ref="A1:A2"/>
    <mergeCell ref="B1:B2"/>
    <mergeCell ref="C1:C2"/>
    <mergeCell ref="D1:D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B16" sqref="B16"/>
    </sheetView>
  </sheetViews>
  <sheetFormatPr defaultRowHeight="15" x14ac:dyDescent="0.25"/>
  <cols>
    <col min="1" max="1" width="36.7109375" customWidth="1"/>
    <col min="2" max="2" width="15.85546875" bestFit="1" customWidth="1"/>
    <col min="3" max="3" width="11.85546875" bestFit="1" customWidth="1"/>
  </cols>
  <sheetData>
    <row r="1" spans="1:5" ht="30" x14ac:dyDescent="0.25">
      <c r="A1" s="50" t="s">
        <v>17</v>
      </c>
      <c r="B1" s="50" t="s">
        <v>97</v>
      </c>
      <c r="C1" s="50" t="s">
        <v>98</v>
      </c>
      <c r="D1" s="30" t="s">
        <v>99</v>
      </c>
    </row>
    <row r="2" spans="1:5" x14ac:dyDescent="0.25">
      <c r="A2" s="50"/>
      <c r="B2" s="50"/>
      <c r="C2" s="50"/>
      <c r="D2" s="30" t="s">
        <v>84</v>
      </c>
    </row>
    <row r="3" spans="1:5" ht="31.5" x14ac:dyDescent="0.25">
      <c r="A3" s="31" t="s">
        <v>100</v>
      </c>
      <c r="B3" s="14">
        <v>0.69199999999999995</v>
      </c>
      <c r="C3" s="29">
        <v>0.97</v>
      </c>
      <c r="D3" s="29">
        <f>C3-B3</f>
        <v>0.27800000000000002</v>
      </c>
      <c r="E3" s="4">
        <f>D3/B3*100</f>
        <v>40.173410404624285</v>
      </c>
    </row>
    <row r="4" spans="1:5" ht="15.75" x14ac:dyDescent="0.25">
      <c r="A4" s="31" t="s">
        <v>101</v>
      </c>
      <c r="B4" s="14">
        <v>18.899999999999999</v>
      </c>
      <c r="C4" s="29">
        <v>25</v>
      </c>
      <c r="D4" s="29">
        <f t="shared" ref="D4:D19" si="0">C4-B4</f>
        <v>6.1000000000000014</v>
      </c>
      <c r="E4" s="4">
        <f t="shared" ref="E4:E18" si="1">D4/B4*100</f>
        <v>32.275132275132286</v>
      </c>
    </row>
    <row r="5" spans="1:5" ht="15.75" x14ac:dyDescent="0.25">
      <c r="A5" s="31" t="s">
        <v>102</v>
      </c>
      <c r="B5" s="14">
        <v>129425</v>
      </c>
      <c r="C5" s="29">
        <f>B5*1.2</f>
        <v>155310</v>
      </c>
      <c r="D5" s="29">
        <f t="shared" si="0"/>
        <v>25885</v>
      </c>
      <c r="E5" s="4">
        <f t="shared" si="1"/>
        <v>20</v>
      </c>
    </row>
    <row r="6" spans="1:5" ht="15.75" x14ac:dyDescent="0.25">
      <c r="A6" s="16" t="s">
        <v>23</v>
      </c>
      <c r="B6" s="14">
        <v>85925</v>
      </c>
      <c r="C6" s="29">
        <f>B6*0.8</f>
        <v>68740</v>
      </c>
      <c r="D6" s="29">
        <f t="shared" si="0"/>
        <v>-17185</v>
      </c>
      <c r="E6" s="4">
        <f t="shared" si="1"/>
        <v>-20</v>
      </c>
    </row>
    <row r="7" spans="1:5" ht="15.75" x14ac:dyDescent="0.25">
      <c r="A7" s="31" t="s">
        <v>103</v>
      </c>
      <c r="B7" s="14">
        <v>1115.0999999999999</v>
      </c>
      <c r="C7" s="29">
        <f>B7*1.22</f>
        <v>1360.4219999999998</v>
      </c>
      <c r="D7" s="29">
        <f t="shared" si="0"/>
        <v>245.32199999999989</v>
      </c>
      <c r="E7" s="4">
        <f t="shared" si="1"/>
        <v>21.999999999999993</v>
      </c>
    </row>
    <row r="8" spans="1:5" ht="15.75" x14ac:dyDescent="0.25">
      <c r="A8" s="31" t="s">
        <v>104</v>
      </c>
      <c r="B8" s="14">
        <v>162407.20000000001</v>
      </c>
      <c r="C8" s="29">
        <f>B8*1.22</f>
        <v>198136.78400000001</v>
      </c>
      <c r="D8" s="29">
        <f t="shared" si="0"/>
        <v>35729.584000000003</v>
      </c>
      <c r="E8" s="4">
        <f t="shared" si="1"/>
        <v>22</v>
      </c>
    </row>
    <row r="9" spans="1:5" ht="15.75" x14ac:dyDescent="0.25">
      <c r="A9" s="16" t="s">
        <v>59</v>
      </c>
      <c r="B9" s="29">
        <v>1744004</v>
      </c>
      <c r="C9" s="29">
        <f>B9*1.1</f>
        <v>1918404.4000000001</v>
      </c>
      <c r="D9" s="29">
        <f t="shared" si="0"/>
        <v>174400.40000000014</v>
      </c>
      <c r="E9" s="4">
        <f t="shared" si="1"/>
        <v>10.000000000000007</v>
      </c>
    </row>
    <row r="10" spans="1:5" ht="15.75" x14ac:dyDescent="0.25">
      <c r="A10" s="31" t="s">
        <v>105</v>
      </c>
      <c r="B10" s="29">
        <v>1411006</v>
      </c>
      <c r="C10" s="29">
        <f>B10+D11+D12+D13</f>
        <v>1230292.45</v>
      </c>
      <c r="D10" s="29">
        <f t="shared" si="0"/>
        <v>-180713.55000000005</v>
      </c>
      <c r="E10" s="4">
        <f t="shared" si="1"/>
        <v>-12.807426049215954</v>
      </c>
    </row>
    <row r="11" spans="1:5" ht="63" x14ac:dyDescent="0.25">
      <c r="A11" s="32" t="s">
        <v>106</v>
      </c>
      <c r="B11" s="29">
        <v>2115.4</v>
      </c>
      <c r="C11" s="29">
        <f>B11*0.7</f>
        <v>1480.78</v>
      </c>
      <c r="D11" s="29">
        <f t="shared" si="0"/>
        <v>-634.62000000000012</v>
      </c>
      <c r="E11" s="4">
        <f t="shared" si="1"/>
        <v>-30.000000000000004</v>
      </c>
    </row>
    <row r="12" spans="1:5" ht="15.75" x14ac:dyDescent="0.25">
      <c r="A12" s="33" t="s">
        <v>107</v>
      </c>
      <c r="B12" s="29">
        <v>1199664.2</v>
      </c>
      <c r="C12" s="29">
        <f>B12*0.85</f>
        <v>1019714.57</v>
      </c>
      <c r="D12" s="29">
        <f t="shared" si="0"/>
        <v>-179949.63</v>
      </c>
      <c r="E12" s="4">
        <f t="shared" si="1"/>
        <v>-15.000000000000002</v>
      </c>
    </row>
    <row r="13" spans="1:5" ht="31.5" x14ac:dyDescent="0.25">
      <c r="A13" s="33" t="s">
        <v>108</v>
      </c>
      <c r="B13" s="29">
        <v>258.60000000000002</v>
      </c>
      <c r="C13" s="29">
        <f>B13*0.5</f>
        <v>129.30000000000001</v>
      </c>
      <c r="D13" s="29">
        <f t="shared" si="0"/>
        <v>-129.30000000000001</v>
      </c>
      <c r="E13" s="4">
        <f t="shared" si="1"/>
        <v>-50</v>
      </c>
    </row>
    <row r="14" spans="1:5" ht="15.75" x14ac:dyDescent="0.25">
      <c r="A14" s="16" t="s">
        <v>41</v>
      </c>
      <c r="B14" s="29">
        <v>332998</v>
      </c>
      <c r="C14" s="29">
        <f>C9-C10</f>
        <v>688111.95000000019</v>
      </c>
      <c r="D14" s="29">
        <f t="shared" si="0"/>
        <v>355113.95000000019</v>
      </c>
      <c r="E14" s="4">
        <f t="shared" si="1"/>
        <v>106.64146631511306</v>
      </c>
    </row>
    <row r="15" spans="1:5" ht="15.75" x14ac:dyDescent="0.25">
      <c r="A15" s="16" t="s">
        <v>44</v>
      </c>
      <c r="B15" s="29">
        <v>216348</v>
      </c>
      <c r="C15" s="29">
        <f>B15+D14</f>
        <v>571461.95000000019</v>
      </c>
      <c r="D15" s="29">
        <f t="shared" si="0"/>
        <v>355113.95000000019</v>
      </c>
      <c r="E15" s="4">
        <f t="shared" si="1"/>
        <v>164.14015844842578</v>
      </c>
    </row>
    <row r="16" spans="1:5" ht="15.75" x14ac:dyDescent="0.25">
      <c r="A16" s="16" t="s">
        <v>109</v>
      </c>
      <c r="B16" s="29">
        <v>37642</v>
      </c>
      <c r="C16" s="29">
        <f>B16+D15</f>
        <v>392755.95000000019</v>
      </c>
      <c r="D16" s="29">
        <f t="shared" si="0"/>
        <v>355113.95000000019</v>
      </c>
      <c r="E16" s="4">
        <f t="shared" si="1"/>
        <v>943.39819882046697</v>
      </c>
    </row>
    <row r="17" spans="1:5" ht="30" x14ac:dyDescent="0.25">
      <c r="A17" s="31" t="s">
        <v>110</v>
      </c>
      <c r="B17" s="34">
        <v>129383</v>
      </c>
      <c r="C17" s="29">
        <f>B17-665</f>
        <v>128718</v>
      </c>
      <c r="D17" s="29">
        <f t="shared" si="0"/>
        <v>-665</v>
      </c>
      <c r="E17" s="4">
        <f t="shared" si="1"/>
        <v>-0.51397787962869934</v>
      </c>
    </row>
    <row r="18" spans="1:5" ht="15.75" x14ac:dyDescent="0.25">
      <c r="A18" s="16" t="s">
        <v>111</v>
      </c>
      <c r="B18" s="29">
        <v>-84248</v>
      </c>
      <c r="C18" s="29">
        <f>C16-C17</f>
        <v>264037.95000000019</v>
      </c>
      <c r="D18" s="29">
        <f t="shared" si="0"/>
        <v>348285.95000000019</v>
      </c>
      <c r="E18" s="4">
        <f t="shared" si="1"/>
        <v>-413.40560013294106</v>
      </c>
    </row>
    <row r="19" spans="1:5" ht="18.75" x14ac:dyDescent="0.25">
      <c r="A19" s="31" t="s">
        <v>112</v>
      </c>
      <c r="B19" s="35">
        <f>B18/B9*100</f>
        <v>-4.8307228653145291</v>
      </c>
      <c r="C19" s="35">
        <f>C18/C9*100</f>
        <v>13.763414533452915</v>
      </c>
      <c r="D19" s="36">
        <f t="shared" si="0"/>
        <v>18.594137398767444</v>
      </c>
      <c r="E19" s="4">
        <f>D19-B19</f>
        <v>23.424860264081971</v>
      </c>
    </row>
    <row r="22" spans="1:5" x14ac:dyDescent="0.25">
      <c r="C22">
        <f>C17/C9*100</f>
        <v>6.7096384891527556</v>
      </c>
    </row>
  </sheetData>
  <mergeCells count="3">
    <mergeCell ref="A1:A2"/>
    <mergeCell ref="B1:B2"/>
    <mergeCell ref="C1:C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Normal="100" workbookViewId="0">
      <selection activeCell="F1" sqref="F1"/>
    </sheetView>
  </sheetViews>
  <sheetFormatPr defaultRowHeight="15" x14ac:dyDescent="0.25"/>
  <cols>
    <col min="1" max="1" width="19.28515625" customWidth="1"/>
    <col min="2" max="2" width="19.5703125" customWidth="1"/>
    <col min="3" max="6" width="15.42578125" customWidth="1"/>
    <col min="7" max="7" width="12.7109375" customWidth="1"/>
    <col min="8" max="8" width="14" customWidth="1"/>
  </cols>
  <sheetData>
    <row r="1" spans="1:8" ht="94.5" x14ac:dyDescent="0.25">
      <c r="A1" s="7" t="s">
        <v>131</v>
      </c>
      <c r="B1" s="7" t="s">
        <v>130</v>
      </c>
      <c r="C1" s="7" t="s">
        <v>127</v>
      </c>
      <c r="D1" s="7" t="s">
        <v>135</v>
      </c>
      <c r="E1" s="7" t="s">
        <v>134</v>
      </c>
      <c r="F1" s="7" t="s">
        <v>133</v>
      </c>
      <c r="G1" s="7" t="s">
        <v>128</v>
      </c>
      <c r="H1" s="7" t="s">
        <v>129</v>
      </c>
    </row>
    <row r="2" spans="1:8" ht="15.75" x14ac:dyDescent="0.25">
      <c r="A2" s="49" t="s">
        <v>113</v>
      </c>
      <c r="B2" s="49"/>
      <c r="C2" s="49"/>
      <c r="D2" s="49"/>
      <c r="E2" s="49"/>
      <c r="F2" s="49"/>
      <c r="G2" s="49"/>
      <c r="H2" s="49"/>
    </row>
    <row r="3" spans="1:8" ht="31.5" x14ac:dyDescent="0.25">
      <c r="A3" s="5" t="s">
        <v>114</v>
      </c>
      <c r="B3" s="5" t="s">
        <v>139</v>
      </c>
      <c r="C3" s="7">
        <v>145</v>
      </c>
      <c r="D3" s="7">
        <v>288</v>
      </c>
      <c r="E3" s="7">
        <f t="shared" ref="E3:E11" si="0">D3*C3</f>
        <v>41760</v>
      </c>
      <c r="F3" s="7">
        <f>D3*200</f>
        <v>57600</v>
      </c>
      <c r="G3" s="7">
        <v>2559</v>
      </c>
      <c r="H3" s="7">
        <f t="shared" ref="H3:H11" si="1">C3*G3</f>
        <v>371055</v>
      </c>
    </row>
    <row r="4" spans="1:8" ht="31.5" x14ac:dyDescent="0.25">
      <c r="A4" s="5"/>
      <c r="B4" s="5" t="s">
        <v>139</v>
      </c>
      <c r="C4" s="7">
        <v>10</v>
      </c>
      <c r="D4" s="7">
        <v>270</v>
      </c>
      <c r="E4" s="7">
        <f t="shared" si="0"/>
        <v>2700</v>
      </c>
      <c r="F4" s="7">
        <f>D4*200</f>
        <v>54000</v>
      </c>
      <c r="G4" s="7">
        <v>2560</v>
      </c>
      <c r="H4" s="7">
        <f t="shared" si="1"/>
        <v>25600</v>
      </c>
    </row>
    <row r="5" spans="1:8" ht="15.75" x14ac:dyDescent="0.25">
      <c r="A5" s="5" t="s">
        <v>115</v>
      </c>
      <c r="B5" s="5" t="s">
        <v>117</v>
      </c>
      <c r="C5" s="7">
        <v>20</v>
      </c>
      <c r="D5" s="7">
        <v>350</v>
      </c>
      <c r="E5" s="7">
        <f t="shared" si="0"/>
        <v>7000</v>
      </c>
      <c r="F5" s="7">
        <f>D5*1205</f>
        <v>421750</v>
      </c>
      <c r="G5" s="7">
        <v>6456</v>
      </c>
      <c r="H5" s="7">
        <f t="shared" si="1"/>
        <v>129120</v>
      </c>
    </row>
    <row r="6" spans="1:8" ht="15.75" x14ac:dyDescent="0.25">
      <c r="A6" s="5" t="s">
        <v>116</v>
      </c>
      <c r="B6" s="5" t="s">
        <v>116</v>
      </c>
      <c r="C6" s="7">
        <v>10</v>
      </c>
      <c r="D6" s="7">
        <v>540</v>
      </c>
      <c r="E6" s="7">
        <f t="shared" si="0"/>
        <v>5400</v>
      </c>
      <c r="F6" s="7">
        <f>D6*601</f>
        <v>324540</v>
      </c>
      <c r="G6" s="7">
        <v>3204</v>
      </c>
      <c r="H6" s="7">
        <f t="shared" si="1"/>
        <v>32040</v>
      </c>
    </row>
    <row r="7" spans="1:8" ht="15.75" x14ac:dyDescent="0.25">
      <c r="A7" s="5" t="s">
        <v>117</v>
      </c>
      <c r="B7" s="5" t="s">
        <v>117</v>
      </c>
      <c r="C7" s="7">
        <v>20</v>
      </c>
      <c r="D7" s="7">
        <v>620</v>
      </c>
      <c r="E7" s="7">
        <f t="shared" si="0"/>
        <v>12400</v>
      </c>
      <c r="F7" s="7">
        <f>D7*506</f>
        <v>313720</v>
      </c>
      <c r="G7" s="7">
        <v>6456</v>
      </c>
      <c r="H7" s="7">
        <f t="shared" si="1"/>
        <v>129120</v>
      </c>
    </row>
    <row r="8" spans="1:8" ht="15.75" x14ac:dyDescent="0.25">
      <c r="A8" s="5" t="s">
        <v>118</v>
      </c>
      <c r="B8" s="5" t="s">
        <v>118</v>
      </c>
      <c r="C8" s="7">
        <v>20</v>
      </c>
      <c r="D8" s="7">
        <v>600</v>
      </c>
      <c r="E8" s="7">
        <f t="shared" si="0"/>
        <v>12000</v>
      </c>
      <c r="F8" s="7">
        <f>D8*521</f>
        <v>312600</v>
      </c>
      <c r="G8" s="7">
        <v>4567</v>
      </c>
      <c r="H8" s="7">
        <f t="shared" si="1"/>
        <v>91340</v>
      </c>
    </row>
    <row r="9" spans="1:8" ht="15.75" x14ac:dyDescent="0.25">
      <c r="A9" s="5" t="s">
        <v>119</v>
      </c>
      <c r="B9" s="5" t="s">
        <v>132</v>
      </c>
      <c r="C9" s="7">
        <v>10</v>
      </c>
      <c r="D9" s="7">
        <v>350</v>
      </c>
      <c r="E9" s="7">
        <f t="shared" si="0"/>
        <v>3500</v>
      </c>
      <c r="F9" s="7">
        <f>D9*342</f>
        <v>119700</v>
      </c>
      <c r="G9" s="7">
        <v>2658</v>
      </c>
      <c r="H9" s="7">
        <f t="shared" si="1"/>
        <v>26580</v>
      </c>
    </row>
    <row r="10" spans="1:8" ht="15.75" x14ac:dyDescent="0.25">
      <c r="A10" s="5" t="s">
        <v>120</v>
      </c>
      <c r="B10" s="5" t="s">
        <v>132</v>
      </c>
      <c r="C10" s="7">
        <v>40</v>
      </c>
      <c r="D10" s="7">
        <v>360</v>
      </c>
      <c r="E10" s="7">
        <f t="shared" si="0"/>
        <v>14400</v>
      </c>
      <c r="F10" s="7">
        <f>D10*284</f>
        <v>102240</v>
      </c>
      <c r="G10" s="7">
        <v>2355</v>
      </c>
      <c r="H10" s="7">
        <f t="shared" si="1"/>
        <v>94200</v>
      </c>
    </row>
    <row r="11" spans="1:8" ht="15.75" x14ac:dyDescent="0.25">
      <c r="A11" s="5" t="s">
        <v>121</v>
      </c>
      <c r="B11" s="5" t="s">
        <v>132</v>
      </c>
      <c r="C11" s="7">
        <v>200</v>
      </c>
      <c r="D11" s="7">
        <v>340</v>
      </c>
      <c r="E11" s="7">
        <f t="shared" si="0"/>
        <v>68000</v>
      </c>
      <c r="F11" s="7">
        <f>D11*298</f>
        <v>101320</v>
      </c>
      <c r="G11" s="7">
        <v>2841</v>
      </c>
      <c r="H11" s="7">
        <f t="shared" si="1"/>
        <v>568200</v>
      </c>
    </row>
    <row r="12" spans="1:8" ht="15.75" x14ac:dyDescent="0.25">
      <c r="A12" s="49" t="s">
        <v>122</v>
      </c>
      <c r="B12" s="49"/>
      <c r="C12" s="49"/>
      <c r="D12" s="49"/>
      <c r="E12" s="49"/>
      <c r="F12" s="49"/>
      <c r="G12" s="49"/>
      <c r="H12" s="49"/>
    </row>
    <row r="13" spans="1:8" ht="15.75" x14ac:dyDescent="0.25">
      <c r="A13" s="5" t="s">
        <v>123</v>
      </c>
      <c r="B13" s="5" t="s">
        <v>123</v>
      </c>
      <c r="C13" s="7">
        <v>20</v>
      </c>
      <c r="D13" s="7">
        <v>800</v>
      </c>
      <c r="E13" s="7">
        <f>D13*C13</f>
        <v>16000</v>
      </c>
      <c r="F13" s="7">
        <f>D13*1298</f>
        <v>1038400</v>
      </c>
      <c r="G13" s="7">
        <v>3325</v>
      </c>
      <c r="H13" s="7">
        <f>C13*G13</f>
        <v>66500</v>
      </c>
    </row>
    <row r="14" spans="1:8" ht="15.75" x14ac:dyDescent="0.25">
      <c r="A14" s="5" t="s">
        <v>124</v>
      </c>
      <c r="B14" s="5" t="s">
        <v>124</v>
      </c>
      <c r="C14" s="7">
        <v>50</v>
      </c>
      <c r="D14" s="7">
        <v>700</v>
      </c>
      <c r="E14" s="7">
        <f>D14*C14</f>
        <v>35000</v>
      </c>
      <c r="F14" s="7">
        <f>D14*1110</f>
        <v>777000</v>
      </c>
      <c r="G14" s="7">
        <v>3224</v>
      </c>
      <c r="H14" s="7">
        <f>C14*G14</f>
        <v>161200</v>
      </c>
    </row>
    <row r="15" spans="1:8" ht="15.75" x14ac:dyDescent="0.25">
      <c r="A15" s="5" t="s">
        <v>125</v>
      </c>
      <c r="B15" s="5" t="s">
        <v>125</v>
      </c>
      <c r="C15" s="7">
        <v>10</v>
      </c>
      <c r="D15" s="7">
        <v>450</v>
      </c>
      <c r="E15" s="7">
        <f>D15*C15</f>
        <v>4500</v>
      </c>
      <c r="F15" s="7">
        <f>D15*298</f>
        <v>134100</v>
      </c>
      <c r="G15" s="7">
        <v>2864</v>
      </c>
      <c r="H15" s="7">
        <f>C15*G15</f>
        <v>28640</v>
      </c>
    </row>
    <row r="16" spans="1:8" ht="15.75" x14ac:dyDescent="0.25">
      <c r="A16" s="5" t="s">
        <v>126</v>
      </c>
      <c r="B16" s="5"/>
      <c r="C16" s="7">
        <f>SUM(C3:C11,C13:C15)</f>
        <v>555</v>
      </c>
      <c r="D16" s="7" t="s">
        <v>27</v>
      </c>
      <c r="E16" s="7">
        <f>SUM(E3:E11,E13:E15)</f>
        <v>222660</v>
      </c>
      <c r="F16" s="7">
        <f>SUM(F3:F11,F13:F15)</f>
        <v>3756970</v>
      </c>
      <c r="G16" s="7">
        <f t="shared" ref="G16:H16" si="2">SUM(G3:G11,G13:G15)</f>
        <v>43069</v>
      </c>
      <c r="H16" s="7">
        <f t="shared" si="2"/>
        <v>1723595</v>
      </c>
    </row>
    <row r="19" spans="6:8" x14ac:dyDescent="0.25">
      <c r="F19" t="s">
        <v>136</v>
      </c>
      <c r="H19">
        <f>AVERAGE(G3:G11,G13:G15)</f>
        <v>3589.0833333333335</v>
      </c>
    </row>
    <row r="20" spans="6:8" x14ac:dyDescent="0.25">
      <c r="F20" t="s">
        <v>137</v>
      </c>
      <c r="H20">
        <f>E16+F16-H16</f>
        <v>2256035</v>
      </c>
    </row>
    <row r="21" spans="6:8" x14ac:dyDescent="0.25">
      <c r="F21" t="s">
        <v>138</v>
      </c>
      <c r="H21">
        <f>H20/H19</f>
        <v>628.58250713970608</v>
      </c>
    </row>
    <row r="24" spans="6:8" x14ac:dyDescent="0.25">
      <c r="F24">
        <f>E16+F16</f>
        <v>3979630</v>
      </c>
    </row>
  </sheetData>
  <mergeCells count="2">
    <mergeCell ref="A2:H2"/>
    <mergeCell ref="A12:H1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G4" sqref="G4"/>
    </sheetView>
  </sheetViews>
  <sheetFormatPr defaultRowHeight="15" x14ac:dyDescent="0.25"/>
  <cols>
    <col min="1" max="1" width="29.85546875" customWidth="1"/>
    <col min="3" max="3" width="14" bestFit="1" customWidth="1"/>
    <col min="4" max="4" width="14.42578125" customWidth="1"/>
  </cols>
  <sheetData>
    <row r="1" spans="1:5" x14ac:dyDescent="0.25">
      <c r="A1" s="50" t="s">
        <v>17</v>
      </c>
      <c r="B1" s="50" t="s">
        <v>97</v>
      </c>
      <c r="C1" s="50" t="s">
        <v>98</v>
      </c>
      <c r="D1" s="30" t="s">
        <v>99</v>
      </c>
    </row>
    <row r="2" spans="1:5" x14ac:dyDescent="0.25">
      <c r="A2" s="50"/>
      <c r="B2" s="50"/>
      <c r="C2" s="50"/>
      <c r="D2" s="30" t="s">
        <v>84</v>
      </c>
    </row>
    <row r="3" spans="1:5" ht="30" x14ac:dyDescent="0.25">
      <c r="A3" s="31" t="s">
        <v>110</v>
      </c>
      <c r="B3" s="34">
        <f>Лист13!B17</f>
        <v>129383</v>
      </c>
      <c r="C3" s="34">
        <f>Лист13!C17</f>
        <v>128718</v>
      </c>
      <c r="D3" s="34">
        <f>C3-B3</f>
        <v>-665</v>
      </c>
      <c r="E3">
        <f>D3/B3*100</f>
        <v>-0.51397787962869934</v>
      </c>
    </row>
    <row r="4" spans="1:5" ht="30" x14ac:dyDescent="0.25">
      <c r="A4" s="31" t="s">
        <v>91</v>
      </c>
      <c r="B4" s="37">
        <f>Лист9!D5</f>
        <v>7.418715085515859</v>
      </c>
      <c r="C4" s="37">
        <f>Лист13!C17/Лист13!C9*100</f>
        <v>6.7096384891527556</v>
      </c>
      <c r="D4" s="37">
        <f t="shared" ref="D4:D6" si="0">C4-B4</f>
        <v>-0.70907659636310338</v>
      </c>
    </row>
    <row r="5" spans="1:5" ht="30" x14ac:dyDescent="0.25">
      <c r="A5" s="31" t="s">
        <v>92</v>
      </c>
      <c r="B5" s="37">
        <f>Лист12!D5</f>
        <v>36.842458491266711</v>
      </c>
      <c r="C5" s="36">
        <f>C3/(Лист13!C9-Лист13!C11-Лист13!C12-Лист13!C13+Лист5!D9+Лист5!D11-Лист5!D10-Лист5!D12)*100</f>
        <v>17.917970972630886</v>
      </c>
      <c r="D5" s="37">
        <f t="shared" si="0"/>
        <v>-18.924487518635825</v>
      </c>
    </row>
    <row r="6" spans="1:5" ht="30" x14ac:dyDescent="0.25">
      <c r="A6" s="31" t="s">
        <v>93</v>
      </c>
      <c r="B6" s="34">
        <v>153.57</v>
      </c>
      <c r="C6" s="36">
        <f>C3/Лист13!C18*100</f>
        <v>48.749810396573636</v>
      </c>
      <c r="D6" s="37">
        <f t="shared" si="0"/>
        <v>-104.82018960342636</v>
      </c>
    </row>
  </sheetData>
  <mergeCells count="3">
    <mergeCell ref="A1:A2"/>
    <mergeCell ref="B1:B2"/>
    <mergeCell ref="C1:C2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B17" sqref="B17"/>
    </sheetView>
  </sheetViews>
  <sheetFormatPr defaultRowHeight="15" x14ac:dyDescent="0.25"/>
  <cols>
    <col min="1" max="1" width="36.7109375" customWidth="1"/>
    <col min="2" max="2" width="15.85546875" bestFit="1" customWidth="1"/>
    <col min="3" max="3" width="11.85546875" bestFit="1" customWidth="1"/>
  </cols>
  <sheetData>
    <row r="1" spans="1:9" ht="30" x14ac:dyDescent="0.25">
      <c r="A1" s="50" t="s">
        <v>17</v>
      </c>
      <c r="B1" s="50" t="s">
        <v>97</v>
      </c>
      <c r="C1" s="50" t="s">
        <v>98</v>
      </c>
      <c r="D1" s="46" t="s">
        <v>99</v>
      </c>
    </row>
    <row r="2" spans="1:9" x14ac:dyDescent="0.25">
      <c r="A2" s="50"/>
      <c r="B2" s="50"/>
      <c r="C2" s="50"/>
      <c r="D2" s="46" t="s">
        <v>84</v>
      </c>
    </row>
    <row r="3" spans="1:9" ht="31.5" x14ac:dyDescent="0.25">
      <c r="A3" s="31" t="s">
        <v>100</v>
      </c>
      <c r="B3" s="45">
        <v>0.69199999999999995</v>
      </c>
      <c r="C3" s="29">
        <v>0.97</v>
      </c>
      <c r="D3" s="29">
        <f>C3-B3</f>
        <v>0.27800000000000002</v>
      </c>
      <c r="E3" s="4">
        <f>D3/B3*100</f>
        <v>40.173410404624285</v>
      </c>
    </row>
    <row r="4" spans="1:9" ht="15.75" x14ac:dyDescent="0.25">
      <c r="A4" s="31" t="s">
        <v>101</v>
      </c>
      <c r="B4" s="45">
        <v>18.899999999999999</v>
      </c>
      <c r="C4" s="29">
        <v>25</v>
      </c>
      <c r="D4" s="29">
        <f t="shared" ref="D4:D19" si="0">C4-B4</f>
        <v>6.1000000000000014</v>
      </c>
      <c r="E4" s="4">
        <f t="shared" ref="E4:E18" si="1">D4/B4*100</f>
        <v>32.275132275132286</v>
      </c>
    </row>
    <row r="5" spans="1:9" ht="15.75" x14ac:dyDescent="0.25">
      <c r="A5" s="31" t="s">
        <v>102</v>
      </c>
      <c r="B5" s="45">
        <v>129425</v>
      </c>
      <c r="C5" s="29">
        <f>B5*1.2</f>
        <v>155310</v>
      </c>
      <c r="D5" s="29">
        <f t="shared" si="0"/>
        <v>25885</v>
      </c>
      <c r="E5" s="4">
        <f t="shared" si="1"/>
        <v>20</v>
      </c>
    </row>
    <row r="6" spans="1:9" ht="15.75" x14ac:dyDescent="0.25">
      <c r="A6" s="16" t="s">
        <v>23</v>
      </c>
      <c r="B6" s="45">
        <v>85925</v>
      </c>
      <c r="C6" s="29">
        <f>B6*0.8</f>
        <v>68740</v>
      </c>
      <c r="D6" s="29">
        <f t="shared" si="0"/>
        <v>-17185</v>
      </c>
      <c r="E6" s="4">
        <f t="shared" si="1"/>
        <v>-20</v>
      </c>
    </row>
    <row r="7" spans="1:9" ht="15.75" x14ac:dyDescent="0.25">
      <c r="A7" s="31" t="s">
        <v>103</v>
      </c>
      <c r="B7" s="45">
        <v>1115.0999999999999</v>
      </c>
      <c r="C7" s="29">
        <f>B7*1.22</f>
        <v>1360.4219999999998</v>
      </c>
      <c r="D7" s="29">
        <f t="shared" si="0"/>
        <v>245.32199999999989</v>
      </c>
      <c r="E7" s="4">
        <f t="shared" si="1"/>
        <v>21.999999999999993</v>
      </c>
    </row>
    <row r="8" spans="1:9" ht="15.75" x14ac:dyDescent="0.25">
      <c r="A8" s="31" t="s">
        <v>104</v>
      </c>
      <c r="B8" s="45">
        <v>162407.20000000001</v>
      </c>
      <c r="C8" s="29">
        <f>B8*1.22</f>
        <v>198136.78400000001</v>
      </c>
      <c r="D8" s="29">
        <f t="shared" si="0"/>
        <v>35729.584000000003</v>
      </c>
      <c r="E8" s="4">
        <f t="shared" si="1"/>
        <v>22</v>
      </c>
    </row>
    <row r="9" spans="1:9" ht="15.75" x14ac:dyDescent="0.25">
      <c r="A9" s="16" t="s">
        <v>59</v>
      </c>
      <c r="B9" s="29">
        <v>1744004</v>
      </c>
      <c r="C9" s="29">
        <f>B9*1.1</f>
        <v>1918404.4000000001</v>
      </c>
      <c r="D9" s="29">
        <f t="shared" si="0"/>
        <v>174400.40000000014</v>
      </c>
      <c r="E9" s="4">
        <f t="shared" si="1"/>
        <v>10.000000000000007</v>
      </c>
    </row>
    <row r="10" spans="1:9" ht="15.75" x14ac:dyDescent="0.25">
      <c r="A10" s="31" t="s">
        <v>105</v>
      </c>
      <c r="B10" s="29">
        <v>1411006</v>
      </c>
      <c r="C10" s="38">
        <f>B10+D11+D12+D13</f>
        <v>1230292.45</v>
      </c>
      <c r="D10" s="29">
        <f t="shared" si="0"/>
        <v>-180713.55000000005</v>
      </c>
      <c r="E10" s="4">
        <f t="shared" si="1"/>
        <v>-12.807426049215954</v>
      </c>
    </row>
    <row r="11" spans="1:9" ht="63" x14ac:dyDescent="0.25">
      <c r="A11" s="32" t="s">
        <v>106</v>
      </c>
      <c r="B11" s="29">
        <v>2115.4</v>
      </c>
      <c r="C11" s="29">
        <f>B11*0.7</f>
        <v>1480.78</v>
      </c>
      <c r="D11" s="29">
        <f t="shared" si="0"/>
        <v>-634.62000000000012</v>
      </c>
      <c r="E11" s="4">
        <f t="shared" si="1"/>
        <v>-30.000000000000004</v>
      </c>
    </row>
    <row r="12" spans="1:9" ht="15.75" x14ac:dyDescent="0.25">
      <c r="A12" s="33" t="s">
        <v>107</v>
      </c>
      <c r="B12" s="29">
        <v>1199664.2</v>
      </c>
      <c r="C12" s="29">
        <f>B12*0.85</f>
        <v>1019714.57</v>
      </c>
      <c r="D12" s="29">
        <f t="shared" si="0"/>
        <v>-179949.63</v>
      </c>
      <c r="E12" s="4">
        <f t="shared" si="1"/>
        <v>-15.000000000000002</v>
      </c>
    </row>
    <row r="13" spans="1:9" ht="31.5" x14ac:dyDescent="0.25">
      <c r="A13" s="33" t="s">
        <v>108</v>
      </c>
      <c r="B13" s="29">
        <v>258.60000000000002</v>
      </c>
      <c r="C13" s="29">
        <f>B13*0.5</f>
        <v>129.30000000000001</v>
      </c>
      <c r="D13" s="29">
        <f t="shared" si="0"/>
        <v>-129.30000000000001</v>
      </c>
      <c r="E13" s="4">
        <f t="shared" si="1"/>
        <v>-50</v>
      </c>
    </row>
    <row r="14" spans="1:9" ht="15.75" x14ac:dyDescent="0.25">
      <c r="A14" s="16" t="s">
        <v>41</v>
      </c>
      <c r="B14" s="29">
        <v>332998</v>
      </c>
      <c r="C14" s="38">
        <f>C9-C10</f>
        <v>688111.95000000019</v>
      </c>
      <c r="D14" s="29">
        <f t="shared" si="0"/>
        <v>355113.95000000019</v>
      </c>
      <c r="E14" s="4">
        <f t="shared" si="1"/>
        <v>106.64146631511306</v>
      </c>
      <c r="I14">
        <f>392755.95*20%</f>
        <v>78551.19</v>
      </c>
    </row>
    <row r="15" spans="1:9" ht="15.75" x14ac:dyDescent="0.25">
      <c r="A15" s="16" t="s">
        <v>44</v>
      </c>
      <c r="B15" s="29">
        <v>216348</v>
      </c>
      <c r="C15" s="38">
        <f>C14+Лист5!D6-Лист5!D7</f>
        <v>571461.95000000019</v>
      </c>
      <c r="D15" s="29">
        <f t="shared" si="0"/>
        <v>355113.95000000019</v>
      </c>
      <c r="E15" s="4">
        <f t="shared" si="1"/>
        <v>164.14015844842578</v>
      </c>
      <c r="I15">
        <f>I14/B17*100</f>
        <v>60.71214147144525</v>
      </c>
    </row>
    <row r="16" spans="1:9" ht="15.75" x14ac:dyDescent="0.25">
      <c r="A16" s="16" t="s">
        <v>109</v>
      </c>
      <c r="B16" s="29">
        <v>37642</v>
      </c>
      <c r="C16" s="38">
        <f>C15+Лист5!D9-Лист5!D10+Лист5!D11-Лист5!D12</f>
        <v>392755.95000000019</v>
      </c>
      <c r="D16" s="29">
        <f t="shared" si="0"/>
        <v>355113.95000000019</v>
      </c>
      <c r="E16" s="4">
        <f t="shared" si="1"/>
        <v>943.39819882046697</v>
      </c>
      <c r="I16">
        <f>B27/B17*100</f>
        <v>0.51397787962869934</v>
      </c>
    </row>
    <row r="17" spans="1:6" ht="30" x14ac:dyDescent="0.25">
      <c r="A17" s="31" t="s">
        <v>110</v>
      </c>
      <c r="B17" s="34">
        <v>129383</v>
      </c>
      <c r="C17" s="38">
        <f>SUM(C21:C28)</f>
        <v>199740.47784000004</v>
      </c>
      <c r="D17" s="29">
        <f t="shared" si="0"/>
        <v>70357.477840000036</v>
      </c>
      <c r="E17" s="4">
        <f t="shared" si="1"/>
        <v>54.379228986806638</v>
      </c>
    </row>
    <row r="18" spans="1:6" ht="15.75" x14ac:dyDescent="0.25">
      <c r="A18" s="16" t="s">
        <v>111</v>
      </c>
      <c r="B18" s="29">
        <v>-84248</v>
      </c>
      <c r="C18" s="38">
        <f>C16-C17</f>
        <v>193015.47216000015</v>
      </c>
      <c r="D18" s="29">
        <f t="shared" si="0"/>
        <v>277263.47216000012</v>
      </c>
      <c r="E18" s="4">
        <f t="shared" si="1"/>
        <v>-329.10392194473474</v>
      </c>
    </row>
    <row r="19" spans="1:6" ht="18.75" x14ac:dyDescent="0.25">
      <c r="A19" s="31" t="s">
        <v>112</v>
      </c>
      <c r="B19" s="35">
        <f>B18/B9*100</f>
        <v>-4.8307228653145291</v>
      </c>
      <c r="C19" s="35">
        <f>C18/C9*100</f>
        <v>10.061250493378775</v>
      </c>
      <c r="D19" s="36">
        <f t="shared" si="0"/>
        <v>14.891973358693305</v>
      </c>
      <c r="E19" s="4">
        <f>D19-B19</f>
        <v>19.722696224007834</v>
      </c>
    </row>
    <row r="21" spans="1:6" ht="15.75" x14ac:dyDescent="0.25">
      <c r="A21" s="19" t="s">
        <v>78</v>
      </c>
      <c r="B21">
        <f>Лист5!D20</f>
        <v>7528.4000000000005</v>
      </c>
      <c r="C21" s="4">
        <f>C16*0.2</f>
        <v>78551.190000000046</v>
      </c>
      <c r="E21" s="4">
        <f>C21-B21</f>
        <v>71022.790000000052</v>
      </c>
      <c r="F21">
        <f>E21/B21*100</f>
        <v>943.39819882046709</v>
      </c>
    </row>
    <row r="22" spans="1:6" x14ac:dyDescent="0.25">
      <c r="A22" t="s">
        <v>79</v>
      </c>
      <c r="B22">
        <f>Лист5!D21</f>
        <v>4111</v>
      </c>
      <c r="C22">
        <f>B22</f>
        <v>4111</v>
      </c>
      <c r="E22" s="4">
        <f t="shared" ref="E22:E28" si="2">C22-B22</f>
        <v>0</v>
      </c>
    </row>
    <row r="23" spans="1:6" x14ac:dyDescent="0.25">
      <c r="A23" t="s">
        <v>54</v>
      </c>
      <c r="B23">
        <f>Лист5!D22</f>
        <v>42600</v>
      </c>
      <c r="C23">
        <f>B23</f>
        <v>42600</v>
      </c>
      <c r="E23" s="4">
        <f t="shared" si="2"/>
        <v>0</v>
      </c>
    </row>
    <row r="24" spans="1:6" x14ac:dyDescent="0.25">
      <c r="A24" t="s">
        <v>55</v>
      </c>
      <c r="B24">
        <f>Лист5!D23</f>
        <v>3068</v>
      </c>
      <c r="C24">
        <f t="shared" ref="C24:C26" si="3">B24</f>
        <v>3068</v>
      </c>
      <c r="E24" s="4">
        <f t="shared" si="2"/>
        <v>0</v>
      </c>
    </row>
    <row r="25" spans="1:6" ht="31.5" x14ac:dyDescent="0.25">
      <c r="A25" s="19" t="s">
        <v>167</v>
      </c>
      <c r="B25">
        <f>Лист5!D24</f>
        <v>65375.015999999996</v>
      </c>
      <c r="C25">
        <f t="shared" si="3"/>
        <v>65375.015999999996</v>
      </c>
      <c r="E25" s="4">
        <f t="shared" si="2"/>
        <v>0</v>
      </c>
    </row>
    <row r="26" spans="1:6" x14ac:dyDescent="0.25">
      <c r="A26" t="s">
        <v>56</v>
      </c>
      <c r="B26">
        <f>Лист5!D25</f>
        <v>1681.0718400000001</v>
      </c>
      <c r="C26">
        <f t="shared" si="3"/>
        <v>1681.0718400000001</v>
      </c>
      <c r="E26" s="4">
        <f t="shared" si="2"/>
        <v>0</v>
      </c>
    </row>
    <row r="27" spans="1:6" x14ac:dyDescent="0.25">
      <c r="A27" t="s">
        <v>57</v>
      </c>
      <c r="B27">
        <f>Лист5!D26</f>
        <v>665</v>
      </c>
      <c r="C27">
        <v>0</v>
      </c>
      <c r="E27" s="4">
        <f t="shared" si="2"/>
        <v>-665</v>
      </c>
    </row>
    <row r="28" spans="1:6" x14ac:dyDescent="0.25">
      <c r="A28" t="s">
        <v>58</v>
      </c>
      <c r="B28">
        <f>Лист5!D27</f>
        <v>4354.2</v>
      </c>
      <c r="C28">
        <f>B28</f>
        <v>4354.2</v>
      </c>
      <c r="E28" s="4">
        <f t="shared" si="2"/>
        <v>0</v>
      </c>
    </row>
  </sheetData>
  <mergeCells count="3">
    <mergeCell ref="A1:A2"/>
    <mergeCell ref="B1:B2"/>
    <mergeCell ref="C1:C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zoomScale="115" zoomScaleNormal="115" workbookViewId="0">
      <selection activeCell="C5" sqref="C5"/>
    </sheetView>
  </sheetViews>
  <sheetFormatPr defaultRowHeight="15" x14ac:dyDescent="0.25"/>
  <cols>
    <col min="1" max="1" width="29.85546875" customWidth="1"/>
    <col min="3" max="3" width="14.85546875" customWidth="1"/>
    <col min="4" max="4" width="11.7109375" customWidth="1"/>
    <col min="6" max="6" width="13.42578125" customWidth="1"/>
    <col min="8" max="8" width="34.42578125" customWidth="1"/>
  </cols>
  <sheetData>
    <row r="2" spans="1:4" ht="30" x14ac:dyDescent="0.25">
      <c r="A2" s="47" t="s">
        <v>17</v>
      </c>
      <c r="B2" s="47" t="s">
        <v>97</v>
      </c>
      <c r="C2" s="47" t="s">
        <v>98</v>
      </c>
      <c r="D2" s="47" t="s">
        <v>168</v>
      </c>
    </row>
    <row r="3" spans="1:4" ht="30" x14ac:dyDescent="0.25">
      <c r="A3" s="31" t="s">
        <v>110</v>
      </c>
      <c r="B3" s="40">
        <f>'Лист13 (2)'!B17</f>
        <v>129383</v>
      </c>
      <c r="C3" s="40">
        <f>'Лист13 (2)'!C17</f>
        <v>199740.47784000004</v>
      </c>
      <c r="D3" s="40">
        <f>C3-B3</f>
        <v>70357.477840000036</v>
      </c>
    </row>
    <row r="4" spans="1:4" ht="30" x14ac:dyDescent="0.25">
      <c r="A4" s="31" t="s">
        <v>91</v>
      </c>
      <c r="B4" s="37">
        <f>Лист9!D5</f>
        <v>7.418715085515859</v>
      </c>
      <c r="C4" s="37">
        <f>'Лист13 (2)'!C17/'Лист13 (2)'!C9*100</f>
        <v>10.411802529226893</v>
      </c>
      <c r="D4" s="37">
        <f t="shared" ref="D4:D6" si="0">C4-B4</f>
        <v>2.9930874437110342</v>
      </c>
    </row>
    <row r="5" spans="1:4" ht="30" x14ac:dyDescent="0.25">
      <c r="A5" s="31" t="s">
        <v>92</v>
      </c>
      <c r="B5" s="37">
        <f>Лист12!D5</f>
        <v>36.842458491266711</v>
      </c>
      <c r="C5" s="37">
        <f>C3/('Лист13 (2)'!C9-'Лист13 (2)'!C11-'Лист13 (2)'!C12-'Лист13 (2)'!C13+Лист5!D9+Лист5!D11-Лист5!D10-Лист5!D12)*100</f>
        <v>27.804534594979284</v>
      </c>
      <c r="D5" s="37">
        <f>F5-B5</f>
        <v>-36.842458491266711</v>
      </c>
    </row>
    <row r="6" spans="1:4" ht="30" x14ac:dyDescent="0.25">
      <c r="A6" s="31" t="s">
        <v>93</v>
      </c>
      <c r="B6" s="34">
        <v>153.57</v>
      </c>
      <c r="C6" s="36">
        <f>C3/'Лист13 (2)'!C18*100</f>
        <v>103.48417958661116</v>
      </c>
      <c r="D6" s="37">
        <f t="shared" si="0"/>
        <v>-50.085820413388831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8" sqref="E8"/>
    </sheetView>
  </sheetViews>
  <sheetFormatPr defaultRowHeight="15" x14ac:dyDescent="0.25"/>
  <cols>
    <col min="1" max="1" width="41.7109375" customWidth="1"/>
  </cols>
  <sheetData>
    <row r="1" spans="1:5" ht="63" x14ac:dyDescent="0.25">
      <c r="A1" s="29" t="s">
        <v>9</v>
      </c>
      <c r="B1" s="29" t="s">
        <v>140</v>
      </c>
    </row>
    <row r="2" spans="1:5" ht="15.75" x14ac:dyDescent="0.25">
      <c r="A2" s="39" t="s">
        <v>142</v>
      </c>
      <c r="B2" s="29">
        <v>11100</v>
      </c>
    </row>
    <row r="3" spans="1:5" ht="31.5" x14ac:dyDescent="0.25">
      <c r="A3" s="39" t="s">
        <v>145</v>
      </c>
      <c r="B3" s="29">
        <v>110</v>
      </c>
    </row>
    <row r="4" spans="1:5" ht="31.5" x14ac:dyDescent="0.25">
      <c r="A4" s="39" t="s">
        <v>149</v>
      </c>
      <c r="B4" s="29">
        <v>222660</v>
      </c>
    </row>
    <row r="5" spans="1:5" ht="31.5" x14ac:dyDescent="0.25">
      <c r="A5" s="39" t="s">
        <v>141</v>
      </c>
      <c r="B5" s="29">
        <v>3756970</v>
      </c>
    </row>
    <row r="6" spans="1:5" ht="47.25" x14ac:dyDescent="0.25">
      <c r="A6" s="39" t="s">
        <v>146</v>
      </c>
      <c r="B6" s="29">
        <f>B4+B5-B3-B2</f>
        <v>3968420</v>
      </c>
    </row>
    <row r="7" spans="1:5" ht="15.75" x14ac:dyDescent="0.25">
      <c r="A7" s="39" t="s">
        <v>147</v>
      </c>
      <c r="B7" s="29">
        <v>1723595</v>
      </c>
    </row>
    <row r="8" spans="1:5" ht="31.5" x14ac:dyDescent="0.25">
      <c r="A8" s="39" t="s">
        <v>148</v>
      </c>
      <c r="B8" s="29">
        <f>555*3</f>
        <v>1665</v>
      </c>
      <c r="E8">
        <f>B7+B8</f>
        <v>1725260</v>
      </c>
    </row>
    <row r="9" spans="1:5" ht="15.75" x14ac:dyDescent="0.25">
      <c r="A9" s="39" t="s">
        <v>143</v>
      </c>
      <c r="B9" s="29">
        <f>B6-B7-B8</f>
        <v>2243160</v>
      </c>
    </row>
    <row r="10" spans="1:5" ht="15.75" x14ac:dyDescent="0.25">
      <c r="A10" s="39" t="s">
        <v>144</v>
      </c>
      <c r="B10" s="29">
        <v>3589.1</v>
      </c>
    </row>
    <row r="13" spans="1:5" x14ac:dyDescent="0.25">
      <c r="B13">
        <f>B9/B10</f>
        <v>624.99233791201141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workbookViewId="0">
      <selection activeCell="H10" sqref="H10"/>
    </sheetView>
  </sheetViews>
  <sheetFormatPr defaultRowHeight="15" x14ac:dyDescent="0.25"/>
  <cols>
    <col min="1" max="1" width="24.5703125" customWidth="1"/>
    <col min="2" max="2" width="16.85546875" customWidth="1"/>
    <col min="3" max="3" width="14.7109375" customWidth="1"/>
    <col min="4" max="4" width="10.5703125" customWidth="1"/>
    <col min="5" max="5" width="12" customWidth="1"/>
    <col min="8" max="8" width="13.42578125" customWidth="1"/>
  </cols>
  <sheetData>
    <row r="1" spans="1:9" ht="78.75" x14ac:dyDescent="0.25">
      <c r="A1" s="29" t="s">
        <v>150</v>
      </c>
      <c r="B1" s="29" t="s">
        <v>151</v>
      </c>
      <c r="C1" s="29" t="s">
        <v>152</v>
      </c>
      <c r="D1" s="43" t="s">
        <v>151</v>
      </c>
      <c r="E1" s="43" t="s">
        <v>152</v>
      </c>
    </row>
    <row r="2" spans="1:9" ht="15.75" x14ac:dyDescent="0.25">
      <c r="A2" s="29" t="s">
        <v>153</v>
      </c>
      <c r="B2" s="38">
        <f>230*$I$2</f>
        <v>6235542.7344632773</v>
      </c>
      <c r="C2" s="38">
        <f>35*$I$3</f>
        <v>323484.18335901387</v>
      </c>
      <c r="D2" s="44">
        <f>200*$I$2</f>
        <v>5422211.0734463288</v>
      </c>
      <c r="E2" s="44">
        <f>25*$I$3</f>
        <v>231060.13097072419</v>
      </c>
      <c r="H2">
        <f>Лист4!D23</f>
        <v>0.74576271186440679</v>
      </c>
      <c r="I2">
        <f>Лист4!E27</f>
        <v>27111.055367231642</v>
      </c>
    </row>
    <row r="3" spans="1:9" ht="15.75" x14ac:dyDescent="0.25">
      <c r="A3" s="29" t="s">
        <v>154</v>
      </c>
      <c r="B3" s="38">
        <f>30*$I$2</f>
        <v>813331.66101694922</v>
      </c>
      <c r="C3" s="38">
        <f>42*$I$3</f>
        <v>388181.02003081661</v>
      </c>
      <c r="D3" s="44">
        <f>20*$I$2</f>
        <v>542221.10734463285</v>
      </c>
      <c r="E3" s="44">
        <f>36*$I$3</f>
        <v>332726.58859784284</v>
      </c>
      <c r="H3">
        <f>Лист4!D24</f>
        <v>0.25423728813559321</v>
      </c>
      <c r="I3">
        <f>Лист4!E28</f>
        <v>9242.4052388289674</v>
      </c>
    </row>
    <row r="4" spans="1:9" ht="15.75" x14ac:dyDescent="0.25">
      <c r="A4" s="29" t="s">
        <v>155</v>
      </c>
      <c r="B4" s="38">
        <f>32*$I$2</f>
        <v>867553.77175141254</v>
      </c>
      <c r="C4" s="38">
        <f>10*$I$3</f>
        <v>92424.052388289681</v>
      </c>
      <c r="D4" s="44">
        <f>25*$I$2</f>
        <v>677776.38418079109</v>
      </c>
      <c r="E4" s="44">
        <f>8*$I$3</f>
        <v>73939.241910631739</v>
      </c>
      <c r="H4">
        <v>1</v>
      </c>
      <c r="I4">
        <f>Лист4!E26</f>
        <v>36353.460606060609</v>
      </c>
    </row>
    <row r="5" spans="1:9" ht="15.75" x14ac:dyDescent="0.25">
      <c r="A5" s="29" t="s">
        <v>156</v>
      </c>
      <c r="B5" s="38">
        <f>20*$I$2</f>
        <v>542221.10734463285</v>
      </c>
      <c r="C5" s="38" t="s">
        <v>27</v>
      </c>
      <c r="D5" s="44">
        <f>10*$I$2</f>
        <v>271110.55367231643</v>
      </c>
      <c r="E5" s="44" t="s">
        <v>27</v>
      </c>
    </row>
    <row r="6" spans="1:9" ht="15.75" x14ac:dyDescent="0.25">
      <c r="A6" s="29" t="s">
        <v>157</v>
      </c>
      <c r="B6" s="38">
        <f>0.6*$I$2</f>
        <v>16266.633220338985</v>
      </c>
      <c r="C6" s="38" t="s">
        <v>27</v>
      </c>
      <c r="D6" s="44">
        <f>0.2*$I$2</f>
        <v>5422.2110734463286</v>
      </c>
      <c r="E6" s="44" t="s">
        <v>27</v>
      </c>
    </row>
    <row r="7" spans="1:9" ht="15.75" x14ac:dyDescent="0.25">
      <c r="A7" s="29" t="s">
        <v>158</v>
      </c>
      <c r="B7" s="38">
        <f>1.5*$I$2</f>
        <v>40666.583050847461</v>
      </c>
      <c r="C7" s="38">
        <f>3.5*$I$3</f>
        <v>32348.418335901384</v>
      </c>
      <c r="D7" s="44">
        <f>1*$I$2</f>
        <v>27111.055367231642</v>
      </c>
      <c r="E7" s="44">
        <f>3*$I$3</f>
        <v>27727.215716486902</v>
      </c>
    </row>
    <row r="8" spans="1:9" ht="15.75" x14ac:dyDescent="0.25">
      <c r="A8" s="29" t="s">
        <v>159</v>
      </c>
      <c r="B8" s="40">
        <f>SUM(B2:B7)</f>
        <v>8515582.4908474572</v>
      </c>
      <c r="C8" s="40">
        <f>SUM(C2:C7)</f>
        <v>836437.67411402147</v>
      </c>
      <c r="D8" s="40">
        <f t="shared" ref="D8:E8" si="0">SUM(D2:D7)</f>
        <v>6945852.3850847464</v>
      </c>
      <c r="E8" s="40">
        <f t="shared" si="0"/>
        <v>665453.17719568568</v>
      </c>
    </row>
    <row r="10" spans="1:9" x14ac:dyDescent="0.25">
      <c r="C10" s="12">
        <f>B8+C8</f>
        <v>9352020.1649614796</v>
      </c>
      <c r="E10" s="12">
        <f>D8+E8</f>
        <v>7611305.5622804323</v>
      </c>
      <c r="F10" s="12">
        <f>C10-E10</f>
        <v>1740714.6026810473</v>
      </c>
      <c r="G10">
        <f>F10/C10*100</f>
        <v>18.613246891862506</v>
      </c>
    </row>
    <row r="21" spans="8:8" x14ac:dyDescent="0.25">
      <c r="H21">
        <f>555/590</f>
        <v>0.94067796610169496</v>
      </c>
    </row>
    <row r="45" spans="2:2" x14ac:dyDescent="0.25">
      <c r="B45">
        <f>Лист4!D48</f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10" sqref="B10"/>
    </sheetView>
  </sheetViews>
  <sheetFormatPr defaultRowHeight="15" x14ac:dyDescent="0.25"/>
  <cols>
    <col min="1" max="1" width="20.5703125" customWidth="1"/>
    <col min="2" max="2" width="11.85546875" customWidth="1"/>
    <col min="3" max="3" width="11.42578125" customWidth="1"/>
  </cols>
  <sheetData>
    <row r="1" spans="1:3" ht="78" customHeight="1" x14ac:dyDescent="0.25">
      <c r="A1" s="51" t="s">
        <v>160</v>
      </c>
      <c r="B1" s="51" t="s">
        <v>161</v>
      </c>
      <c r="C1" s="51" t="s">
        <v>162</v>
      </c>
    </row>
    <row r="2" spans="1:3" x14ac:dyDescent="0.25">
      <c r="A2" s="51"/>
      <c r="B2" s="51"/>
      <c r="C2" s="51"/>
    </row>
    <row r="3" spans="1:3" ht="18.75" x14ac:dyDescent="0.25">
      <c r="A3" s="41" t="s">
        <v>163</v>
      </c>
      <c r="B3" s="7">
        <v>211</v>
      </c>
      <c r="C3" s="42">
        <f>B3/$B$7*100</f>
        <v>35.762711864406782</v>
      </c>
    </row>
    <row r="4" spans="1:3" ht="18.75" x14ac:dyDescent="0.25">
      <c r="A4" s="41" t="s">
        <v>164</v>
      </c>
      <c r="B4" s="7">
        <v>199</v>
      </c>
      <c r="C4" s="42">
        <f t="shared" ref="C4:C6" si="0">B4/$B$7*100</f>
        <v>33.728813559322035</v>
      </c>
    </row>
    <row r="5" spans="1:3" ht="18.75" x14ac:dyDescent="0.25">
      <c r="A5" s="41" t="s">
        <v>165</v>
      </c>
      <c r="B5" s="7">
        <v>158</v>
      </c>
      <c r="C5" s="42">
        <f t="shared" si="0"/>
        <v>26.779661016949152</v>
      </c>
    </row>
    <row r="6" spans="1:3" ht="18.75" x14ac:dyDescent="0.25">
      <c r="A6" s="41" t="s">
        <v>166</v>
      </c>
      <c r="B6" s="7">
        <v>22</v>
      </c>
      <c r="C6" s="42">
        <f t="shared" si="0"/>
        <v>3.7288135593220342</v>
      </c>
    </row>
    <row r="7" spans="1:3" ht="18.75" x14ac:dyDescent="0.25">
      <c r="A7" s="41" t="s">
        <v>126</v>
      </c>
      <c r="B7" s="42">
        <f>SUM(B3:B6)</f>
        <v>590</v>
      </c>
      <c r="C7" s="42">
        <f>B7/$B$7*100</f>
        <v>100</v>
      </c>
    </row>
  </sheetData>
  <mergeCells count="3">
    <mergeCell ref="A1:A2"/>
    <mergeCell ref="B1:B2"/>
    <mergeCell ref="C1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Лист9</vt:lpstr>
      <vt:lpstr>Лист10</vt:lpstr>
      <vt:lpstr>Лист11</vt:lpstr>
      <vt:lpstr>Лист12</vt:lpstr>
      <vt:lpstr>Лист13</vt:lpstr>
      <vt:lpstr>Лист8</vt:lpstr>
      <vt:lpstr>Лист14</vt:lpstr>
      <vt:lpstr>Лист13 (2)</vt:lpstr>
      <vt:lpstr>Лист14 (2)</vt:lpstr>
      <vt:lpstr>Лист15</vt:lpstr>
      <vt:lpstr>Лист16</vt:lpstr>
      <vt:lpstr>Лист17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2016-07-01T14:02:23Z</dcterms:modified>
</cp:coreProperties>
</file>